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9" yWindow="65400" windowWidth="13164" windowHeight="11765" tabRatio="698" activeTab="11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грудень" sheetId="12" r:id="rId12"/>
    <sheet name="Лист1" sheetId="13" r:id="rId13"/>
  </sheets>
  <definedNames>
    <definedName name="_xlnm.Print_Area" localSheetId="2">'бер'!$A$1:$AG$99</definedName>
    <definedName name="_xlnm.Print_Area" localSheetId="8">'вер'!$A$1:$AG$99</definedName>
    <definedName name="_xlnm.Print_Area" localSheetId="11">'грудень'!$A$1:$AG$99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<sst xmlns="http://schemas.openxmlformats.org/spreadsheetml/2006/main" count="1248" uniqueCount="77">
  <si>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</si>
  <si>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</si>
  <si>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</si>
  <si>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</si>
  <si>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</si>
  <si>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</si>
  <si>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</si>
  <si>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</si>
  <si>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</si>
  <si>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</si>
  <si>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</si>
  <si>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</si>
  <si>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</si>
  <si>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</si>
  <si>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</si>
  <si>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</si>
  <si>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</si>
  <si>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</si>
  <si>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</si>
  <si>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</si>
  <si>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</si>
  <si>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</si>
  <si>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</si>
  <si>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</si>
  <si>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</si>
  <si>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</si>
  <si>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</si>
  <si>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</si>
  <si>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</si>
  <si>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</si>
  <si>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</si>
  <si>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</si>
  <si>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</si>
  <si>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</si>
  <si>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</si>
  <si>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</si>
  <si>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</si>
  <si>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</si>
  <si>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</si>
  <si>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</si>
  <si>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</si>
  <si>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</si>
  <si>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</si>
  <si>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</si>
  <si>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</si>
  <si>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</si>
  <si>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</si>
  <si>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</si>
  <si>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</si>
  <si>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</si>
  <si>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</si>
  <si>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</si>
  <si>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</si>
  <si>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</si>
  <si>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</si>
  <si>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</si>
  <si>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</si>
  <si>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</si>
  <si>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</si>
  <si>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</si>
  <si>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</si>
  <si>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</si>
  <si>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</si>
  <si>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</si>
  <si>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</si>
  <si>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</si>
  <si>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</si>
  <si>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</si>
  <si>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</si>
  <si>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</si>
  <si>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</si>
  <si>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</si>
  <si>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</si>
  <si>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</si>
  <si>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</si>
  <si>
    <t>по міському бюджету м.Черкаси у ГРУДНІ 2017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</si>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</sst>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64" sqref="X64:Y6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C7+E7+M7-AF16-AF25</f>
        <v>21603.1</v>
      </c>
      <c r="AF7" s="72"/>
      <c r="AG7" s="48"/>
    </row>
    <row r="8" spans="1:55" ht="18" customHeight="1">
      <c r="A8" s="60" t="s">
        <v>30</v>
      </c>
      <c r="B8" s="40">
        <f>SUM(D8:AB8)</f>
        <v>134409.52000000002</v>
      </c>
      <c r="C8" s="40">
        <v>77095.25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>
        <v>4580.8</v>
      </c>
      <c r="X8" s="56">
        <v>5168.99</v>
      </c>
      <c r="Y8" s="56">
        <v>11558.5</v>
      </c>
      <c r="Z8" s="56"/>
      <c r="AA8" s="56"/>
      <c r="AB8" s="55"/>
      <c r="AC8" s="23"/>
      <c r="AD8" s="23"/>
      <c r="AE8" s="83">
        <f>B8+C8-AF9</f>
        <v>20903.669999999984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168254.1991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25376.1</v>
      </c>
      <c r="X9" s="24">
        <f t="shared" si="0"/>
        <v>1915</v>
      </c>
      <c r="Y9" s="24">
        <f t="shared" si="0"/>
        <v>739.6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190601.10000000003</v>
      </c>
      <c r="AG9" s="50">
        <f>AG10+AG15+AG24+AG33+AG47+AG52+AG54+AG61+AG62+AG71+AG72+AG76+AG88+AG81+AG83+AG82+AG69+AG89+AG91+AG90+AG70+AG40+AG92</f>
        <v>87709.34909999999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73.7</v>
      </c>
      <c r="S10" s="85">
        <v>40.8</v>
      </c>
      <c r="T10" s="85">
        <v>9.2</v>
      </c>
      <c r="U10" s="85">
        <v>78.7</v>
      </c>
      <c r="V10" s="85">
        <v>1446.7</v>
      </c>
      <c r="W10" s="85">
        <v>8107.4</v>
      </c>
      <c r="X10" s="85">
        <v>252.8</v>
      </c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16423.5</v>
      </c>
      <c r="AG10" s="85">
        <f>B10+C10-AF10</f>
        <v>9623.082099999996</v>
      </c>
    </row>
    <row r="11" spans="1:33" s="87" customFormat="1" ht="15">
      <c r="A11" s="88" t="s">
        <v>5</v>
      </c>
      <c r="B11" s="86">
        <f>11255.3-170.4</f>
        <v>11084.9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>
        <v>8040.9</v>
      </c>
      <c r="X11" s="85">
        <v>6.2</v>
      </c>
      <c r="Y11" s="85"/>
      <c r="Z11" s="85"/>
      <c r="AA11" s="85"/>
      <c r="AB11" s="85"/>
      <c r="AC11" s="85"/>
      <c r="AD11" s="85"/>
      <c r="AE11" s="85"/>
      <c r="AF11" s="85">
        <f t="shared" si="1"/>
        <v>15191.5</v>
      </c>
      <c r="AG11" s="85">
        <f>B11+C11-AF11</f>
        <v>7407.699999999997</v>
      </c>
    </row>
    <row r="12" spans="1:33" s="87" customFormat="1" ht="15">
      <c r="A12" s="88" t="s">
        <v>2</v>
      </c>
      <c r="B12" s="86">
        <f>575.8-3.2</f>
        <v>572.5999999999999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>
        <v>197.4</v>
      </c>
      <c r="Y12" s="85"/>
      <c r="Z12" s="85"/>
      <c r="AA12" s="85"/>
      <c r="AB12" s="85"/>
      <c r="AC12" s="85"/>
      <c r="AD12" s="85"/>
      <c r="AE12" s="85"/>
      <c r="AF12" s="85">
        <f t="shared" si="1"/>
        <v>328.8</v>
      </c>
      <c r="AG12" s="85">
        <f>B12+C12-AF12</f>
        <v>415.3999999999999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571.0821000000001</v>
      </c>
      <c r="C14" s="85">
        <f>C10-C11-C12</f>
        <v>2132.099999999997</v>
      </c>
      <c r="D14" s="85">
        <f aca="true" t="shared" si="2" ref="D14:AD14">D10-D11-D12</f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4.6000000000000085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66.5</v>
      </c>
      <c r="X14" s="85">
        <f t="shared" si="2"/>
        <v>49.20000000000002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903.2000000000007</v>
      </c>
      <c r="AG14" s="85">
        <f>AG10-AG11-AG12-AG13</f>
        <v>1799.982099999999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>
        <v>2394.7</v>
      </c>
      <c r="X15" s="85">
        <v>50.9</v>
      </c>
      <c r="Y15" s="85">
        <v>5.5</v>
      </c>
      <c r="Z15" s="85"/>
      <c r="AA15" s="85"/>
      <c r="AB15" s="85"/>
      <c r="AC15" s="85"/>
      <c r="AD15" s="85"/>
      <c r="AE15" s="85"/>
      <c r="AF15" s="85">
        <f t="shared" si="1"/>
        <v>62983.99999999999</v>
      </c>
      <c r="AG15" s="85">
        <f>B15+C15-AF15</f>
        <v>34664.75000000001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aca="true" t="shared" si="3" ref="AG16:AG31">B16+C16-AF16</f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>
        <v>2</v>
      </c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45887.6</v>
      </c>
      <c r="AG17" s="85">
        <f t="shared" si="3"/>
        <v>20019.6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>
        <v>203.6</v>
      </c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3890</v>
      </c>
      <c r="AG19" s="85">
        <f t="shared" si="3"/>
        <v>2179.6000000000004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>
        <v>1622.3</v>
      </c>
      <c r="X20" s="85">
        <v>26.7</v>
      </c>
      <c r="Y20" s="85">
        <v>5.5</v>
      </c>
      <c r="Z20" s="85"/>
      <c r="AA20" s="85"/>
      <c r="AB20" s="85"/>
      <c r="AC20" s="85"/>
      <c r="AD20" s="85"/>
      <c r="AE20" s="85"/>
      <c r="AF20" s="85">
        <f t="shared" si="1"/>
        <v>8335.2</v>
      </c>
      <c r="AG20" s="85">
        <f t="shared" si="3"/>
        <v>8688.000000000004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566.8</v>
      </c>
      <c r="X23" s="85">
        <f t="shared" si="4"/>
        <v>24.2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3813.300000000003</v>
      </c>
      <c r="AG23" s="85">
        <f t="shared" si="3"/>
        <v>3508.2499999999873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>
        <f>6442.1+5604.8</f>
        <v>12046.900000000001</v>
      </c>
      <c r="X24" s="85"/>
      <c r="Y24" s="85">
        <v>-85</v>
      </c>
      <c r="Z24" s="85"/>
      <c r="AA24" s="85"/>
      <c r="AB24" s="85"/>
      <c r="AC24" s="85"/>
      <c r="AD24" s="85"/>
      <c r="AE24" s="85"/>
      <c r="AF24" s="85">
        <f t="shared" si="1"/>
        <v>31812.100000000002</v>
      </c>
      <c r="AG24" s="85">
        <f t="shared" si="3"/>
        <v>14349.7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>
        <v>5604.8</v>
      </c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19987.1</v>
      </c>
      <c r="AG25" s="94">
        <f t="shared" si="3"/>
        <v>60.80000000000291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12046.900000000001</v>
      </c>
      <c r="X32" s="85">
        <f t="shared" si="5"/>
        <v>0</v>
      </c>
      <c r="Y32" s="85">
        <f t="shared" si="5"/>
        <v>-85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31812.100000000002</v>
      </c>
      <c r="AG32" s="85">
        <f>AG24</f>
        <v>14349.7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>
        <v>194.3</v>
      </c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307.5</v>
      </c>
      <c r="AG33" s="85">
        <f aca="true" t="shared" si="6" ref="AG33:AG38">B33+C33-AF33</f>
        <v>365.63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>
        <v>148.5</v>
      </c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225.2</v>
      </c>
      <c r="AG34" s="85">
        <f t="shared" si="6"/>
        <v>21.65100000000001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>
        <v>45.1</v>
      </c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70.2</v>
      </c>
      <c r="AG36" s="85">
        <f t="shared" si="6"/>
        <v>45.67100000000001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0.70000000000001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12.100000000000014</v>
      </c>
      <c r="AG39" s="85">
        <f>AG33-AG34-AG36-AG38-AG35-AG37</f>
        <v>33.50800000000004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>
        <v>538</v>
      </c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909.6</v>
      </c>
      <c r="AG40" s="85">
        <f aca="true" t="shared" si="8" ref="AG40:AG45">B40+C40-AF40</f>
        <v>272.187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>
        <v>524.7</v>
      </c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839.5</v>
      </c>
      <c r="AG41" s="85">
        <f t="shared" si="8"/>
        <v>63.1099999999999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>
        <v>6.8</v>
      </c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40.199999999999996</v>
      </c>
      <c r="AG44" s="85">
        <f t="shared" si="8"/>
        <v>173.873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6.499999999999955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23.499999999999968</v>
      </c>
      <c r="AG46" s="85">
        <f>AG40-AG41-AG42-AG43-AG44-AG45</f>
        <v>20.3600000000001</v>
      </c>
    </row>
    <row r="47" spans="1:33" s="87" customFormat="1" ht="17.25" customHeight="1">
      <c r="A47" s="84" t="s">
        <v>43</v>
      </c>
      <c r="B47" s="86">
        <f>784.1+34.6-21.5</f>
        <v>797.2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>
        <v>79</v>
      </c>
      <c r="X47" s="98">
        <v>7.4</v>
      </c>
      <c r="Y47" s="98"/>
      <c r="Z47" s="98"/>
      <c r="AA47" s="98"/>
      <c r="AB47" s="98"/>
      <c r="AC47" s="98"/>
      <c r="AD47" s="98"/>
      <c r="AE47" s="98"/>
      <c r="AF47" s="85">
        <f t="shared" si="1"/>
        <v>680.1</v>
      </c>
      <c r="AG47" s="85">
        <f>B47+C47-AF47</f>
        <v>1473.6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>
        <v>11.1</v>
      </c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33.1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f>593.1-11.6</f>
        <v>581.5</v>
      </c>
      <c r="C49" s="85">
        <f>1066.6</f>
        <v>1066.6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1241.8999999999999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197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67.9</v>
      </c>
      <c r="X51" s="85">
        <f t="shared" si="10"/>
        <v>7.4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240.8</v>
      </c>
      <c r="AG51" s="85">
        <f>AG47-AG49-AG48</f>
        <v>210.00000000000006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>
        <v>167.6</v>
      </c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2486</v>
      </c>
      <c r="AG52" s="85">
        <f aca="true" t="shared" si="11" ref="AG52:AG59">B52+C52-AF52</f>
        <v>5725.5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>
        <v>77.7</v>
      </c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991.5</v>
      </c>
      <c r="AG53" s="85">
        <f t="shared" si="11"/>
        <v>552.3000000000002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>
        <v>1758.5</v>
      </c>
      <c r="X54" s="85">
        <v>531</v>
      </c>
      <c r="Y54" s="85"/>
      <c r="Z54" s="85"/>
      <c r="AA54" s="85"/>
      <c r="AB54" s="85"/>
      <c r="AC54" s="85"/>
      <c r="AD54" s="85"/>
      <c r="AE54" s="85"/>
      <c r="AF54" s="85">
        <f t="shared" si="1"/>
        <v>6105</v>
      </c>
      <c r="AG54" s="85">
        <f t="shared" si="11"/>
        <v>1938.5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>
        <v>1665.8</v>
      </c>
      <c r="X55" s="85">
        <v>520</v>
      </c>
      <c r="Y55" s="85"/>
      <c r="Z55" s="85"/>
      <c r="AA55" s="85"/>
      <c r="AB55" s="85"/>
      <c r="AC55" s="85"/>
      <c r="AD55" s="85"/>
      <c r="AE55" s="85"/>
      <c r="AF55" s="85">
        <f t="shared" si="1"/>
        <v>4802.5</v>
      </c>
      <c r="AG55" s="85">
        <f t="shared" si="11"/>
        <v>535.7999999999993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>
        <v>38.2</v>
      </c>
      <c r="X57" s="85">
        <v>1.3</v>
      </c>
      <c r="Y57" s="85"/>
      <c r="Z57" s="85"/>
      <c r="AA57" s="85"/>
      <c r="AB57" s="85"/>
      <c r="AC57" s="85"/>
      <c r="AD57" s="85"/>
      <c r="AE57" s="85"/>
      <c r="AF57" s="85">
        <f t="shared" si="1"/>
        <v>318.3</v>
      </c>
      <c r="AG57" s="85">
        <f t="shared" si="11"/>
        <v>668.2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>
        <v>6.9</v>
      </c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46.9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47.600000000000044</v>
      </c>
      <c r="X60" s="85">
        <f t="shared" si="12"/>
        <v>9.7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937.3000000000001</v>
      </c>
      <c r="AG60" s="85">
        <f>AG54-AG55-AG57-AG59-AG56-AG58</f>
        <v>734.5000000000007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1997.4+500</f>
        <v>2497.4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283.4</v>
      </c>
      <c r="S62" s="85"/>
      <c r="T62" s="85">
        <v>0.3</v>
      </c>
      <c r="U62" s="85"/>
      <c r="V62" s="85">
        <v>60.9</v>
      </c>
      <c r="W62" s="85">
        <v>39.3</v>
      </c>
      <c r="X62" s="85">
        <v>1060.5</v>
      </c>
      <c r="Y62" s="85"/>
      <c r="Z62" s="85"/>
      <c r="AA62" s="85"/>
      <c r="AB62" s="85"/>
      <c r="AC62" s="85"/>
      <c r="AD62" s="85"/>
      <c r="AE62" s="85"/>
      <c r="AF62" s="85">
        <f t="shared" si="13"/>
        <v>2303.8</v>
      </c>
      <c r="AG62" s="85">
        <f t="shared" si="14"/>
        <v>2060.2</v>
      </c>
    </row>
    <row r="63" spans="1:34" s="87" customFormat="1" ht="15">
      <c r="A63" s="88" t="s">
        <v>5</v>
      </c>
      <c r="B63" s="85">
        <f>1330.3+157.8</f>
        <v>1488.1</v>
      </c>
      <c r="C63" s="85">
        <f>192.6+0.2</f>
        <v>192.79999999999998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>
        <v>31.1</v>
      </c>
      <c r="X63" s="85">
        <v>837.9</v>
      </c>
      <c r="Y63" s="85"/>
      <c r="Z63" s="85"/>
      <c r="AA63" s="85"/>
      <c r="AB63" s="85"/>
      <c r="AC63" s="85"/>
      <c r="AD63" s="85"/>
      <c r="AE63" s="85"/>
      <c r="AF63" s="85">
        <f t="shared" si="13"/>
        <v>1599.9</v>
      </c>
      <c r="AG63" s="85">
        <f t="shared" si="14"/>
        <v>80.99999999999977</v>
      </c>
      <c r="AH63" s="101"/>
    </row>
    <row r="64" spans="1:34" s="87" customFormat="1" ht="15">
      <c r="A64" s="88" t="s">
        <v>3</v>
      </c>
      <c r="B64" s="85">
        <v>3.3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1.5</v>
      </c>
      <c r="S64" s="85"/>
      <c r="T64" s="85"/>
      <c r="U64" s="85"/>
      <c r="V64" s="85">
        <v>1.7</v>
      </c>
      <c r="W64" s="85">
        <v>1.6</v>
      </c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4.800000000000001</v>
      </c>
      <c r="AG64" s="85">
        <f t="shared" si="14"/>
        <v>3.3999999999999986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235.60000000000002</v>
      </c>
    </row>
    <row r="67" spans="1:33" s="87" customFormat="1" ht="15">
      <c r="A67" s="88" t="s">
        <v>16</v>
      </c>
      <c r="B67" s="85">
        <f>49.2+500</f>
        <v>549.2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529.3000000000001</v>
      </c>
    </row>
    <row r="68" spans="1:33" s="87" customFormat="1" ht="15">
      <c r="A68" s="88" t="s">
        <v>23</v>
      </c>
      <c r="B68" s="85">
        <f aca="true" t="shared" si="15" ref="B68:AD68">B62-B63-B66-B67-B65-B64</f>
        <v>206.0000000000001</v>
      </c>
      <c r="C68" s="85">
        <f t="shared" si="15"/>
        <v>1408.6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154.39999999999998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6.599999999999996</v>
      </c>
      <c r="X68" s="85">
        <f t="shared" si="15"/>
        <v>222.60000000000002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510.3</v>
      </c>
      <c r="AG68" s="85">
        <f>AG62-AG63-AG66-AG67-AG65-AG64</f>
        <v>1104.2999999999997</v>
      </c>
    </row>
    <row r="69" spans="1:33" s="87" customFormat="1" ht="30.75">
      <c r="A69" s="84" t="s">
        <v>46</v>
      </c>
      <c r="B69" s="85">
        <v>5063.2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1774.5999999999985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>
        <v>9.7</v>
      </c>
      <c r="X72" s="85">
        <v>12.4</v>
      </c>
      <c r="Y72" s="85"/>
      <c r="Z72" s="85"/>
      <c r="AA72" s="85"/>
      <c r="AB72" s="85"/>
      <c r="AC72" s="85"/>
      <c r="AD72" s="85"/>
      <c r="AE72" s="85"/>
      <c r="AF72" s="85">
        <f t="shared" si="13"/>
        <v>1001.9000000000001</v>
      </c>
      <c r="AG72" s="102">
        <f t="shared" si="16"/>
        <v>4603.6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>
        <v>10.4</v>
      </c>
      <c r="Y74" s="85"/>
      <c r="Z74" s="85"/>
      <c r="AA74" s="85"/>
      <c r="AB74" s="85"/>
      <c r="AC74" s="85"/>
      <c r="AD74" s="85"/>
      <c r="AE74" s="85"/>
      <c r="AF74" s="85">
        <f t="shared" si="13"/>
        <v>68.80000000000001</v>
      </c>
      <c r="AG74" s="102">
        <f t="shared" si="16"/>
        <v>1366.3000000000002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>
        <v>40.7</v>
      </c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109</v>
      </c>
      <c r="AG76" s="102">
        <f t="shared" si="16"/>
        <v>115.20000000000002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>
        <v>39.4</v>
      </c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73.69999999999999</v>
      </c>
      <c r="AG77" s="102">
        <f t="shared" si="16"/>
        <v>14.600000000000009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>
        <v>819.1</v>
      </c>
      <c r="Z90" s="85"/>
      <c r="AA90" s="85"/>
      <c r="AB90" s="85"/>
      <c r="AC90" s="85"/>
      <c r="AD90" s="85"/>
      <c r="AE90" s="85"/>
      <c r="AF90" s="85">
        <f t="shared" si="13"/>
        <v>2457.1</v>
      </c>
      <c r="AG90" s="85">
        <f t="shared" si="16"/>
        <v>0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168254.1991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25376.1</v>
      </c>
      <c r="X94" s="42">
        <f t="shared" si="17"/>
        <v>1915</v>
      </c>
      <c r="Y94" s="42">
        <f t="shared" si="17"/>
        <v>739.6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190601.10000000003</v>
      </c>
      <c r="AG94" s="58">
        <f>AG10+AG15+AG24+AG33+AG47+AG52+AG54+AG61+AG62+AG69+AG71+AG72+AG76+AG81+AG82+AG83+AG88+AG89+AG90+AG91+AG70+AG40+AG92</f>
        <v>87709.34909999999</v>
      </c>
    </row>
    <row r="95" spans="1:36" ht="15">
      <c r="A95" s="3" t="s">
        <v>5</v>
      </c>
      <c r="B95" s="22">
        <f aca="true" t="shared" si="18" ref="B95:AD95">B11+B17+B26+B34+B55+B63+B73+B41+B77+B48</f>
        <v>56280.460999999996</v>
      </c>
      <c r="C95" s="22">
        <f t="shared" si="18"/>
        <v>40615.8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10463.5</v>
      </c>
      <c r="X95" s="22">
        <f t="shared" si="18"/>
        <v>1364.1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68731</v>
      </c>
      <c r="AG95" s="27">
        <f>B95+C95-AF95</f>
        <v>28165.261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12688.044000000005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1790.1</v>
      </c>
      <c r="X96" s="22">
        <f t="shared" si="19"/>
        <v>235.8</v>
      </c>
      <c r="Y96" s="22">
        <f t="shared" si="19"/>
        <v>5.5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10206.300000000001</v>
      </c>
      <c r="AG96" s="27">
        <f>B96+C96-AF96</f>
        <v>12157.444000000005</v>
      </c>
      <c r="AJ96" s="6"/>
    </row>
    <row r="97" spans="1:36" ht="15">
      <c r="A97" s="3" t="s">
        <v>3</v>
      </c>
      <c r="B97" s="22">
        <f aca="true" t="shared" si="20" ref="B97:AA97">B18+B27+B42+B64+B78</f>
        <v>4.55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1.5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1.6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15.999999999999998</v>
      </c>
      <c r="AG97" s="27">
        <f>B97+C97-AF97</f>
        <v>32.24999999999999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203.6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3993.2</v>
      </c>
      <c r="AG98" s="27">
        <f>B98+C98-AF98</f>
        <v>2307.1939999999995</v>
      </c>
      <c r="AJ98" s="6"/>
    </row>
    <row r="99" spans="1:36" ht="15">
      <c r="A99" s="3" t="s">
        <v>16</v>
      </c>
      <c r="B99" s="22">
        <f aca="true" t="shared" si="22" ref="B99:X99">B21+B30+B49+B37+B58+B13+B75+B67</f>
        <v>1801.3</v>
      </c>
      <c r="C99" s="22">
        <f t="shared" si="22"/>
        <v>2233.1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6.9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1616.8000000000002</v>
      </c>
      <c r="AG99" s="27">
        <f>B99+C99-AF99</f>
        <v>2417.5999999999995</v>
      </c>
      <c r="AJ99" s="6"/>
    </row>
    <row r="100" spans="1:36" ht="13.5">
      <c r="A100" s="1" t="s">
        <v>35</v>
      </c>
      <c r="B100" s="2">
        <f aca="true" t="shared" si="24" ref="B100:AD100">B94-B95-B96-B97-B98-B99</f>
        <v>94034.35009999998</v>
      </c>
      <c r="C100" s="2">
        <f t="shared" si="24"/>
        <v>54633.04999999999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2290.7000000000003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12910.399999999998</v>
      </c>
      <c r="X100" s="2">
        <f t="shared" si="24"/>
        <v>315.1000000000001</v>
      </c>
      <c r="Y100" s="2">
        <f t="shared" si="24"/>
        <v>734.1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106037.80000000003</v>
      </c>
      <c r="AG100" s="2">
        <f>AG94-AG95-AG96-AG97-AG98-AG99</f>
        <v>42629.60009999999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19" sqref="K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8">
        <v>28</v>
      </c>
      <c r="W4" s="8">
        <v>29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21603.1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78955.30000000002</v>
      </c>
      <c r="C8" s="40">
        <v>20903.669999999984</v>
      </c>
      <c r="D8" s="43">
        <v>13389.2</v>
      </c>
      <c r="E8" s="55">
        <v>5785.2</v>
      </c>
      <c r="F8" s="55">
        <v>2073.9</v>
      </c>
      <c r="G8" s="55">
        <v>4638.2</v>
      </c>
      <c r="H8" s="55">
        <v>5209.6</v>
      </c>
      <c r="I8" s="55">
        <v>8067.5</v>
      </c>
      <c r="J8" s="56">
        <v>5644.5</v>
      </c>
      <c r="K8" s="55">
        <v>2092</v>
      </c>
      <c r="L8" s="55">
        <v>2166.8</v>
      </c>
      <c r="M8" s="55">
        <v>2529.9</v>
      </c>
      <c r="N8" s="55">
        <v>1743.4</v>
      </c>
      <c r="O8" s="55">
        <v>9230.1</v>
      </c>
      <c r="P8" s="55">
        <v>4016.1</v>
      </c>
      <c r="Q8" s="55">
        <v>4810.6</v>
      </c>
      <c r="R8" s="55">
        <v>7558.3</v>
      </c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165220.20999999996</v>
      </c>
      <c r="C9" s="24">
        <f t="shared" si="0"/>
        <v>87709.34909999999</v>
      </c>
      <c r="D9" s="24">
        <f t="shared" si="0"/>
        <v>1079.7</v>
      </c>
      <c r="E9" s="24">
        <f t="shared" si="0"/>
        <v>5672.369999999999</v>
      </c>
      <c r="F9" s="24">
        <f t="shared" si="0"/>
        <v>3145.1</v>
      </c>
      <c r="G9" s="24">
        <f t="shared" si="0"/>
        <v>7842.199999999999</v>
      </c>
      <c r="H9" s="24">
        <f>H10+H15+H24+H33+H47+H52+H54+H61+H62+H71+H72+H88+H76+H81+H83+H82+H69+H89+H90+H91+H70+H40+H92</f>
        <v>7923.299999999999</v>
      </c>
      <c r="I9" s="24">
        <f t="shared" si="0"/>
        <v>9180.3</v>
      </c>
      <c r="J9" s="24">
        <f t="shared" si="0"/>
        <v>11723.400000000001</v>
      </c>
      <c r="K9" s="24">
        <f t="shared" si="0"/>
        <v>12717.300000000001</v>
      </c>
      <c r="L9" s="24">
        <f t="shared" si="0"/>
        <v>29405.599999999995</v>
      </c>
      <c r="M9" s="24">
        <f t="shared" si="0"/>
        <v>2573.4</v>
      </c>
      <c r="N9" s="24">
        <f t="shared" si="0"/>
        <v>6744.299999999999</v>
      </c>
      <c r="O9" s="24">
        <f t="shared" si="0"/>
        <v>3546.2</v>
      </c>
      <c r="P9" s="24">
        <f t="shared" si="0"/>
        <v>4486.9</v>
      </c>
      <c r="Q9" s="24">
        <f t="shared" si="0"/>
        <v>5670.500000000001</v>
      </c>
      <c r="R9" s="24">
        <f t="shared" si="0"/>
        <v>25036.199999999997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136746.77000000002</v>
      </c>
      <c r="AG9" s="50">
        <f>AG10+AG15+AG24+AG33+AG47+AG52+AG54+AG61+AG62+AG71+AG72+AG76+AG88+AG81+AG83+AG82+AG69+AG89+AG91+AG90+AG70+AG40+AG92</f>
        <v>116182.7891</v>
      </c>
      <c r="AH9" s="49"/>
      <c r="AI9" s="49"/>
    </row>
    <row r="10" spans="1:33" s="87" customFormat="1" ht="15">
      <c r="A10" s="84" t="s">
        <v>4</v>
      </c>
      <c r="B10" s="85">
        <f>11054.3+283.1</f>
        <v>11337.4</v>
      </c>
      <c r="C10" s="85">
        <v>9623.082099999996</v>
      </c>
      <c r="D10" s="85"/>
      <c r="E10" s="85">
        <v>105.8</v>
      </c>
      <c r="F10" s="85">
        <v>59.7</v>
      </c>
      <c r="G10" s="85">
        <v>55.8</v>
      </c>
      <c r="H10" s="85">
        <v>883.4</v>
      </c>
      <c r="I10" s="85">
        <v>158.4</v>
      </c>
      <c r="J10" s="86">
        <v>171.4</v>
      </c>
      <c r="K10" s="85">
        <v>32.9</v>
      </c>
      <c r="L10" s="85">
        <f>6448.5+12.2</f>
        <v>6460.7</v>
      </c>
      <c r="M10" s="85">
        <v>178</v>
      </c>
      <c r="N10" s="85">
        <v>98.2</v>
      </c>
      <c r="O10" s="85">
        <v>108.6</v>
      </c>
      <c r="P10" s="85">
        <v>100.7</v>
      </c>
      <c r="Q10" s="85">
        <v>446.1</v>
      </c>
      <c r="R10" s="85">
        <v>385.4</v>
      </c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9245.100000000002</v>
      </c>
      <c r="AG10" s="85">
        <f>B10+C10-AF10</f>
        <v>11715.382099999992</v>
      </c>
    </row>
    <row r="11" spans="1:33" s="87" customFormat="1" ht="15">
      <c r="A11" s="88" t="s">
        <v>5</v>
      </c>
      <c r="B11" s="86">
        <f>10415.9-19.2</f>
        <v>10396.699999999999</v>
      </c>
      <c r="C11" s="85">
        <v>7407.699999999997</v>
      </c>
      <c r="D11" s="85"/>
      <c r="E11" s="85">
        <v>33</v>
      </c>
      <c r="F11" s="85">
        <v>50.6</v>
      </c>
      <c r="G11" s="85">
        <v>41.7</v>
      </c>
      <c r="H11" s="85">
        <v>864.1</v>
      </c>
      <c r="I11" s="85"/>
      <c r="J11" s="85">
        <v>151.6</v>
      </c>
      <c r="K11" s="85">
        <v>13.8</v>
      </c>
      <c r="L11" s="85">
        <f>6376.4+12.2</f>
        <v>6388.599999999999</v>
      </c>
      <c r="M11" s="85"/>
      <c r="N11" s="85"/>
      <c r="O11" s="85">
        <v>2.1</v>
      </c>
      <c r="P11" s="85"/>
      <c r="Q11" s="85">
        <v>278.1</v>
      </c>
      <c r="R11" s="85">
        <v>14.7</v>
      </c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7838.3</v>
      </c>
      <c r="AG11" s="85">
        <f>B11+C11-AF11</f>
        <v>9966.099999999995</v>
      </c>
    </row>
    <row r="12" spans="1:33" s="87" customFormat="1" ht="15">
      <c r="A12" s="88" t="s">
        <v>2</v>
      </c>
      <c r="B12" s="86">
        <v>327.0999999999999</v>
      </c>
      <c r="C12" s="85">
        <v>415.3999999999999</v>
      </c>
      <c r="D12" s="85"/>
      <c r="E12" s="85">
        <v>9.8</v>
      </c>
      <c r="F12" s="85"/>
      <c r="G12" s="85"/>
      <c r="H12" s="85"/>
      <c r="I12" s="85">
        <v>28.5</v>
      </c>
      <c r="J12" s="85"/>
      <c r="K12" s="85"/>
      <c r="L12" s="85">
        <v>1</v>
      </c>
      <c r="M12" s="85"/>
      <c r="N12" s="85">
        <v>1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40.3</v>
      </c>
      <c r="AG12" s="85">
        <f>B12+C12-AF12</f>
        <v>702.1999999999998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613.6000000000008</v>
      </c>
      <c r="C14" s="85">
        <f>C10-C11-C12</f>
        <v>1799.982099999999</v>
      </c>
      <c r="D14" s="85">
        <f aca="true" t="shared" si="2" ref="D14:AD14">D10-D11-D12</f>
        <v>0</v>
      </c>
      <c r="E14" s="85">
        <f t="shared" si="2"/>
        <v>63</v>
      </c>
      <c r="F14" s="85">
        <f t="shared" si="2"/>
        <v>9.100000000000001</v>
      </c>
      <c r="G14" s="85">
        <f t="shared" si="2"/>
        <v>14.099999999999994</v>
      </c>
      <c r="H14" s="85">
        <f t="shared" si="2"/>
        <v>19.299999999999955</v>
      </c>
      <c r="I14" s="85">
        <f t="shared" si="2"/>
        <v>129.9</v>
      </c>
      <c r="J14" s="85">
        <f t="shared" si="2"/>
        <v>19.80000000000001</v>
      </c>
      <c r="K14" s="85">
        <f t="shared" si="2"/>
        <v>19.099999999999998</v>
      </c>
      <c r="L14" s="85">
        <f t="shared" si="2"/>
        <v>71.10000000000036</v>
      </c>
      <c r="M14" s="85">
        <f t="shared" si="2"/>
        <v>178</v>
      </c>
      <c r="N14" s="85">
        <f t="shared" si="2"/>
        <v>97.2</v>
      </c>
      <c r="O14" s="85">
        <f t="shared" si="2"/>
        <v>106.5</v>
      </c>
      <c r="P14" s="85">
        <f t="shared" si="2"/>
        <v>100.7</v>
      </c>
      <c r="Q14" s="85">
        <f t="shared" si="2"/>
        <v>168</v>
      </c>
      <c r="R14" s="85">
        <f t="shared" si="2"/>
        <v>370.7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1366.5000000000005</v>
      </c>
      <c r="AG14" s="85">
        <f>AG10-AG11-AG12-AG13</f>
        <v>1047.082099999997</v>
      </c>
    </row>
    <row r="15" spans="1:33" s="87" customFormat="1" ht="15" customHeight="1">
      <c r="A15" s="84" t="s">
        <v>6</v>
      </c>
      <c r="B15" s="89">
        <f>57928.3+683.4</f>
        <v>58611.700000000004</v>
      </c>
      <c r="C15" s="85">
        <v>34664.75000000001</v>
      </c>
      <c r="D15" s="90"/>
      <c r="E15" s="90">
        <f>22.9+0.3</f>
        <v>23.2</v>
      </c>
      <c r="F15" s="85">
        <v>2460.1</v>
      </c>
      <c r="G15" s="85">
        <v>406.8</v>
      </c>
      <c r="H15" s="85">
        <v>2483.8</v>
      </c>
      <c r="I15" s="85">
        <v>351.5</v>
      </c>
      <c r="J15" s="85">
        <v>945.2</v>
      </c>
      <c r="K15" s="85">
        <f>484+4.9</f>
        <v>488.9</v>
      </c>
      <c r="L15" s="85">
        <f>9433.8+7959.3</f>
        <v>17393.1</v>
      </c>
      <c r="M15" s="85"/>
      <c r="N15" s="85">
        <f>1743.3+1172.4</f>
        <v>2915.7</v>
      </c>
      <c r="O15" s="85">
        <v>553.6</v>
      </c>
      <c r="P15" s="85">
        <f>943.3+510</f>
        <v>1453.3</v>
      </c>
      <c r="Q15" s="85">
        <f>1485.3+170</f>
        <v>1655.3</v>
      </c>
      <c r="R15" s="85">
        <f>4482+170</f>
        <v>4652</v>
      </c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35782.5</v>
      </c>
      <c r="AG15" s="85">
        <f>B15+C15-AF15</f>
        <v>57493.95000000001</v>
      </c>
    </row>
    <row r="16" spans="1:34" s="96" customFormat="1" ht="15" customHeight="1">
      <c r="A16" s="91" t="s">
        <v>38</v>
      </c>
      <c r="B16" s="92">
        <v>21751.29999999999</v>
      </c>
      <c r="C16" s="93">
        <v>15922.400000000001</v>
      </c>
      <c r="D16" s="94"/>
      <c r="E16" s="94">
        <v>0.3</v>
      </c>
      <c r="F16" s="93"/>
      <c r="G16" s="93"/>
      <c r="H16" s="93"/>
      <c r="I16" s="93"/>
      <c r="J16" s="93"/>
      <c r="K16" s="93">
        <v>4.9</v>
      </c>
      <c r="L16" s="93">
        <v>7959.3</v>
      </c>
      <c r="M16" s="93"/>
      <c r="N16" s="93">
        <v>1172.4</v>
      </c>
      <c r="O16" s="93"/>
      <c r="P16" s="93">
        <v>510</v>
      </c>
      <c r="Q16" s="93">
        <v>170</v>
      </c>
      <c r="R16" s="93">
        <v>170</v>
      </c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9986.9</v>
      </c>
      <c r="AG16" s="94">
        <f aca="true" t="shared" si="3" ref="AG16:AG31">B16+C16-AF16</f>
        <v>27686.79999999999</v>
      </c>
      <c r="AH16" s="95"/>
    </row>
    <row r="17" spans="1:34" s="87" customFormat="1" ht="15">
      <c r="A17" s="88" t="s">
        <v>5</v>
      </c>
      <c r="B17" s="89">
        <f>37703.3+263.9</f>
        <v>37967.200000000004</v>
      </c>
      <c r="C17" s="85">
        <v>20019.6</v>
      </c>
      <c r="D17" s="85"/>
      <c r="E17" s="85">
        <v>23.2</v>
      </c>
      <c r="F17" s="85"/>
      <c r="G17" s="85"/>
      <c r="H17" s="85"/>
      <c r="I17" s="85"/>
      <c r="J17" s="85"/>
      <c r="K17" s="85"/>
      <c r="L17" s="85">
        <f>9163.8+7959.3</f>
        <v>17123.1</v>
      </c>
      <c r="M17" s="85"/>
      <c r="N17" s="85">
        <v>10.6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17156.899999999998</v>
      </c>
      <c r="AG17" s="85">
        <f t="shared" si="3"/>
        <v>40829.90000000001</v>
      </c>
      <c r="AH17" s="97"/>
    </row>
    <row r="18" spans="1:35" s="87" customFormat="1" ht="15">
      <c r="A18" s="88" t="s">
        <v>3</v>
      </c>
      <c r="B18" s="89">
        <v>1</v>
      </c>
      <c r="C18" s="85">
        <v>28.3</v>
      </c>
      <c r="D18" s="85"/>
      <c r="E18" s="85"/>
      <c r="F18" s="85"/>
      <c r="G18" s="85"/>
      <c r="H18" s="85">
        <v>1.2</v>
      </c>
      <c r="I18" s="85"/>
      <c r="J18" s="85"/>
      <c r="K18" s="85"/>
      <c r="L18" s="85"/>
      <c r="M18" s="85"/>
      <c r="N18" s="85">
        <v>2.5</v>
      </c>
      <c r="O18" s="85"/>
      <c r="P18" s="85">
        <v>2.2</v>
      </c>
      <c r="Q18" s="85"/>
      <c r="R18" s="85">
        <v>15.4</v>
      </c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21.3</v>
      </c>
      <c r="AG18" s="85">
        <f t="shared" si="3"/>
        <v>8</v>
      </c>
      <c r="AH18" s="97"/>
      <c r="AI18" s="97"/>
    </row>
    <row r="19" spans="1:33" s="87" customFormat="1" ht="15">
      <c r="A19" s="88" t="s">
        <v>1</v>
      </c>
      <c r="B19" s="89">
        <v>3513.300000000003</v>
      </c>
      <c r="C19" s="85">
        <v>2179.6000000000004</v>
      </c>
      <c r="D19" s="85"/>
      <c r="E19" s="85"/>
      <c r="F19" s="85">
        <v>302.7</v>
      </c>
      <c r="G19" s="85">
        <v>315.4</v>
      </c>
      <c r="H19" s="85">
        <v>681.7</v>
      </c>
      <c r="I19" s="85">
        <v>348.4</v>
      </c>
      <c r="J19" s="85">
        <v>9.6</v>
      </c>
      <c r="K19" s="85">
        <v>187.6</v>
      </c>
      <c r="L19" s="85">
        <v>111.4</v>
      </c>
      <c r="M19" s="85"/>
      <c r="N19" s="85">
        <v>324.6</v>
      </c>
      <c r="O19" s="85">
        <v>109.5</v>
      </c>
      <c r="P19" s="85">
        <v>191</v>
      </c>
      <c r="Q19" s="85">
        <v>491.8</v>
      </c>
      <c r="R19" s="85">
        <v>560.5</v>
      </c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3634.2</v>
      </c>
      <c r="AG19" s="85">
        <f t="shared" si="3"/>
        <v>2058.7000000000035</v>
      </c>
    </row>
    <row r="20" spans="1:33" s="87" customFormat="1" ht="15">
      <c r="A20" s="88" t="s">
        <v>2</v>
      </c>
      <c r="B20" s="85">
        <f>11348.7-981.1</f>
        <v>10367.6</v>
      </c>
      <c r="C20" s="85">
        <v>8688.000000000004</v>
      </c>
      <c r="D20" s="85"/>
      <c r="E20" s="85"/>
      <c r="F20" s="85">
        <v>2019.7</v>
      </c>
      <c r="G20" s="85"/>
      <c r="H20" s="85">
        <v>1476.9</v>
      </c>
      <c r="I20" s="85">
        <v>3.1</v>
      </c>
      <c r="J20" s="85">
        <v>360.3</v>
      </c>
      <c r="K20" s="85">
        <v>146.4</v>
      </c>
      <c r="L20" s="85">
        <v>146.2</v>
      </c>
      <c r="M20" s="85"/>
      <c r="N20" s="85">
        <v>1008.6</v>
      </c>
      <c r="O20" s="85">
        <v>329.9</v>
      </c>
      <c r="P20" s="85">
        <v>515.8</v>
      </c>
      <c r="Q20" s="85">
        <v>708.7</v>
      </c>
      <c r="R20" s="85">
        <v>2965</v>
      </c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9680.6</v>
      </c>
      <c r="AG20" s="85">
        <f t="shared" si="3"/>
        <v>9375.000000000005</v>
      </c>
    </row>
    <row r="21" spans="1:33" s="87" customFormat="1" ht="15">
      <c r="A21" s="88" t="s">
        <v>16</v>
      </c>
      <c r="B21" s="85">
        <f>617.3+386.7</f>
        <v>1004</v>
      </c>
      <c r="C21" s="85">
        <v>241</v>
      </c>
      <c r="D21" s="85"/>
      <c r="E21" s="85"/>
      <c r="F21" s="85"/>
      <c r="G21" s="85"/>
      <c r="H21" s="85">
        <v>3.8</v>
      </c>
      <c r="I21" s="85"/>
      <c r="J21" s="85"/>
      <c r="K21" s="85">
        <v>5.4</v>
      </c>
      <c r="L21" s="85"/>
      <c r="M21" s="85"/>
      <c r="N21" s="85"/>
      <c r="O21" s="85"/>
      <c r="P21" s="85"/>
      <c r="Q21" s="85"/>
      <c r="R21" s="85">
        <v>270.9</v>
      </c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280.09999999999997</v>
      </c>
      <c r="AG21" s="85">
        <f t="shared" si="3"/>
        <v>964.9000000000001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5758.599999999997</v>
      </c>
      <c r="C23" s="85">
        <f t="shared" si="4"/>
        <v>3508.2500000000055</v>
      </c>
      <c r="D23" s="85">
        <f t="shared" si="4"/>
        <v>0</v>
      </c>
      <c r="E23" s="85">
        <f t="shared" si="4"/>
        <v>0</v>
      </c>
      <c r="F23" s="85">
        <f t="shared" si="4"/>
        <v>137.70000000000005</v>
      </c>
      <c r="G23" s="85">
        <f t="shared" si="4"/>
        <v>91.40000000000003</v>
      </c>
      <c r="H23" s="85">
        <f t="shared" si="4"/>
        <v>320.2000000000002</v>
      </c>
      <c r="I23" s="85">
        <f t="shared" si="4"/>
        <v>2.2648549702353193E-14</v>
      </c>
      <c r="J23" s="85">
        <f t="shared" si="4"/>
        <v>575.3</v>
      </c>
      <c r="K23" s="85">
        <f t="shared" si="4"/>
        <v>149.49999999999994</v>
      </c>
      <c r="L23" s="85">
        <f t="shared" si="4"/>
        <v>12.400000000000006</v>
      </c>
      <c r="M23" s="85">
        <f t="shared" si="4"/>
        <v>0</v>
      </c>
      <c r="N23" s="85">
        <f>N15-N17-N18-N19-N20-N21-N22</f>
        <v>1569.4</v>
      </c>
      <c r="O23" s="85">
        <f t="shared" si="4"/>
        <v>114.20000000000005</v>
      </c>
      <c r="P23" s="85">
        <f t="shared" si="4"/>
        <v>744.3</v>
      </c>
      <c r="Q23" s="85">
        <f t="shared" si="4"/>
        <v>454.79999999999995</v>
      </c>
      <c r="R23" s="85">
        <f t="shared" si="4"/>
        <v>840.2000000000004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5009.4000000000015</v>
      </c>
      <c r="AG23" s="85">
        <f t="shared" si="3"/>
        <v>4257.450000000001</v>
      </c>
    </row>
    <row r="24" spans="1:36" s="87" customFormat="1" ht="15" customHeight="1">
      <c r="A24" s="84" t="s">
        <v>7</v>
      </c>
      <c r="B24" s="85">
        <f>30255.8+11.4</f>
        <v>30267.2</v>
      </c>
      <c r="C24" s="85">
        <v>14349.7</v>
      </c>
      <c r="D24" s="85"/>
      <c r="E24" s="85"/>
      <c r="F24" s="85">
        <f>31.2+74.1</f>
        <v>105.3</v>
      </c>
      <c r="G24" s="85">
        <f>1499.1+685.3</f>
        <v>2184.3999999999996</v>
      </c>
      <c r="H24" s="85">
        <v>1.4</v>
      </c>
      <c r="I24" s="85">
        <f>1528.3+498.1</f>
        <v>2026.4</v>
      </c>
      <c r="J24" s="85">
        <f>339.8+5947</f>
        <v>6286.8</v>
      </c>
      <c r="K24" s="85">
        <v>3880.7</v>
      </c>
      <c r="L24" s="85">
        <f>667.4+959.6</f>
        <v>1627</v>
      </c>
      <c r="M24" s="85"/>
      <c r="N24" s="85">
        <f>2564.3+743</f>
        <v>3307.3</v>
      </c>
      <c r="O24" s="85">
        <v>31.1</v>
      </c>
      <c r="P24" s="85">
        <f>1170.2+538.4</f>
        <v>1708.6</v>
      </c>
      <c r="Q24" s="85">
        <v>857.2</v>
      </c>
      <c r="R24" s="85">
        <f>9871+8679.8</f>
        <v>18550.8</v>
      </c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40567</v>
      </c>
      <c r="AG24" s="85">
        <f t="shared" si="3"/>
        <v>4049.9000000000015</v>
      </c>
      <c r="AJ24" s="97"/>
    </row>
    <row r="25" spans="1:34" s="96" customFormat="1" ht="15" customHeight="1">
      <c r="A25" s="91" t="s">
        <v>39</v>
      </c>
      <c r="B25" s="93">
        <f>19856.3+2127.3+2535.4</f>
        <v>24519</v>
      </c>
      <c r="C25" s="93">
        <v>60.80000000000291</v>
      </c>
      <c r="D25" s="93"/>
      <c r="E25" s="93"/>
      <c r="F25" s="93">
        <v>74.1</v>
      </c>
      <c r="G25" s="93">
        <v>685.3</v>
      </c>
      <c r="H25" s="93">
        <v>1.4</v>
      </c>
      <c r="I25" s="93">
        <v>498.1</v>
      </c>
      <c r="J25" s="93">
        <v>5947</v>
      </c>
      <c r="K25" s="93">
        <v>3880.7</v>
      </c>
      <c r="L25" s="93">
        <v>959.6</v>
      </c>
      <c r="M25" s="93"/>
      <c r="N25" s="93">
        <v>743</v>
      </c>
      <c r="O25" s="93"/>
      <c r="P25" s="93">
        <v>538.4</v>
      </c>
      <c r="Q25" s="93"/>
      <c r="R25" s="93">
        <v>8679.8</v>
      </c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22007.399999999998</v>
      </c>
      <c r="AG25" s="94">
        <f t="shared" si="3"/>
        <v>2572.400000000005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30267.2</v>
      </c>
      <c r="C32" s="85">
        <f t="shared" si="5"/>
        <v>14349.7</v>
      </c>
      <c r="D32" s="85">
        <f t="shared" si="5"/>
        <v>0</v>
      </c>
      <c r="E32" s="85">
        <f t="shared" si="5"/>
        <v>0</v>
      </c>
      <c r="F32" s="85">
        <f t="shared" si="5"/>
        <v>105.3</v>
      </c>
      <c r="G32" s="85">
        <f t="shared" si="5"/>
        <v>2184.3999999999996</v>
      </c>
      <c r="H32" s="85">
        <f t="shared" si="5"/>
        <v>1.4</v>
      </c>
      <c r="I32" s="85">
        <f t="shared" si="5"/>
        <v>2026.4</v>
      </c>
      <c r="J32" s="85">
        <f t="shared" si="5"/>
        <v>6286.8</v>
      </c>
      <c r="K32" s="85">
        <f t="shared" si="5"/>
        <v>3880.7</v>
      </c>
      <c r="L32" s="85">
        <f t="shared" si="5"/>
        <v>1627</v>
      </c>
      <c r="M32" s="85">
        <f t="shared" si="5"/>
        <v>0</v>
      </c>
      <c r="N32" s="85">
        <f t="shared" si="5"/>
        <v>3307.3</v>
      </c>
      <c r="O32" s="85">
        <f t="shared" si="5"/>
        <v>31.1</v>
      </c>
      <c r="P32" s="85">
        <f t="shared" si="5"/>
        <v>1708.6</v>
      </c>
      <c r="Q32" s="85">
        <f t="shared" si="5"/>
        <v>857.2</v>
      </c>
      <c r="R32" s="85">
        <f t="shared" si="5"/>
        <v>18550.8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40567</v>
      </c>
      <c r="AG32" s="85">
        <f>AG24</f>
        <v>4049.9000000000015</v>
      </c>
    </row>
    <row r="33" spans="1:33" s="87" customFormat="1" ht="15" customHeight="1">
      <c r="A33" s="84" t="s">
        <v>8</v>
      </c>
      <c r="B33" s="85">
        <f>514.589-163.6</f>
        <v>350.98900000000003</v>
      </c>
      <c r="C33" s="85">
        <v>365.63</v>
      </c>
      <c r="D33" s="85"/>
      <c r="E33" s="85"/>
      <c r="F33" s="85"/>
      <c r="G33" s="85"/>
      <c r="H33" s="85"/>
      <c r="I33" s="85"/>
      <c r="J33" s="85"/>
      <c r="K33" s="85">
        <v>207.2</v>
      </c>
      <c r="L33" s="85">
        <v>79.6</v>
      </c>
      <c r="M33" s="85"/>
      <c r="N33" s="85">
        <v>9.8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296.59999999999997</v>
      </c>
      <c r="AG33" s="85">
        <f aca="true" t="shared" si="6" ref="AG33:AG38">B33+C33-AF33</f>
        <v>420.01900000000006</v>
      </c>
    </row>
    <row r="34" spans="1:33" s="87" customFormat="1" ht="15">
      <c r="A34" s="88" t="s">
        <v>5</v>
      </c>
      <c r="B34" s="85">
        <v>216.05228000000034</v>
      </c>
      <c r="C34" s="85">
        <v>21.65100000000001</v>
      </c>
      <c r="D34" s="85"/>
      <c r="E34" s="85"/>
      <c r="F34" s="85"/>
      <c r="G34" s="85"/>
      <c r="H34" s="85"/>
      <c r="I34" s="85"/>
      <c r="J34" s="85"/>
      <c r="K34" s="85"/>
      <c r="L34" s="85">
        <v>79.6</v>
      </c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79.6</v>
      </c>
      <c r="AG34" s="85">
        <f t="shared" si="6"/>
        <v>158.10328000000035</v>
      </c>
    </row>
    <row r="35" spans="1:33" s="87" customFormat="1" ht="15">
      <c r="A35" s="88" t="s">
        <v>1</v>
      </c>
      <c r="B35" s="85">
        <v>0</v>
      </c>
      <c r="C35" s="85">
        <f>6.7-3.4</f>
        <v>3.3000000000000003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3.3000000000000003</v>
      </c>
    </row>
    <row r="36" spans="1:33" s="87" customFormat="1" ht="15">
      <c r="A36" s="88" t="s">
        <v>2</v>
      </c>
      <c r="B36" s="90">
        <v>73.82447000000002</v>
      </c>
      <c r="C36" s="85">
        <v>45.67100000000001</v>
      </c>
      <c r="D36" s="85"/>
      <c r="E36" s="85"/>
      <c r="F36" s="85"/>
      <c r="G36" s="85"/>
      <c r="H36" s="85"/>
      <c r="I36" s="85"/>
      <c r="J36" s="85"/>
      <c r="K36" s="85">
        <v>6.4</v>
      </c>
      <c r="L36" s="85"/>
      <c r="M36" s="85"/>
      <c r="N36" s="85">
        <v>9.8</v>
      </c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16.200000000000003</v>
      </c>
      <c r="AG36" s="85">
        <f t="shared" si="6"/>
        <v>103.29547000000002</v>
      </c>
    </row>
    <row r="37" spans="1:33" s="87" customFormat="1" ht="15">
      <c r="A37" s="88" t="s">
        <v>16</v>
      </c>
      <c r="B37" s="85">
        <v>-0.0420000000001437</v>
      </c>
      <c r="C37" s="85">
        <f>258.1-223.4</f>
        <v>34.70000000000002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34.65799999999987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61.15424999999982</v>
      </c>
      <c r="C39" s="85">
        <f t="shared" si="7"/>
        <v>260.30799999999994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200.79999999999998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200.79999999999998</v>
      </c>
      <c r="AG39" s="85">
        <f>AG33-AG34-AG36-AG38-AG35-AG37</f>
        <v>120.66224999999983</v>
      </c>
    </row>
    <row r="40" spans="1:33" s="87" customFormat="1" ht="15" customHeight="1">
      <c r="A40" s="84" t="s">
        <v>29</v>
      </c>
      <c r="B40" s="85">
        <v>1065.7209999999995</v>
      </c>
      <c r="C40" s="85">
        <v>272.187</v>
      </c>
      <c r="D40" s="85"/>
      <c r="E40" s="85"/>
      <c r="F40" s="85">
        <v>48</v>
      </c>
      <c r="G40" s="85"/>
      <c r="H40" s="85"/>
      <c r="I40" s="85"/>
      <c r="J40" s="85"/>
      <c r="K40" s="85">
        <v>75.1</v>
      </c>
      <c r="L40" s="85">
        <v>326</v>
      </c>
      <c r="M40" s="85"/>
      <c r="N40" s="85"/>
      <c r="O40" s="85"/>
      <c r="P40" s="85"/>
      <c r="Q40" s="85">
        <v>56.1</v>
      </c>
      <c r="R40" s="85">
        <v>91.1</v>
      </c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596.3000000000001</v>
      </c>
      <c r="AG40" s="85">
        <f aca="true" t="shared" si="8" ref="AG40:AG45">B40+C40-AF40</f>
        <v>741.6079999999994</v>
      </c>
    </row>
    <row r="41" spans="1:34" s="87" customFormat="1" ht="15">
      <c r="A41" s="88" t="s">
        <v>5</v>
      </c>
      <c r="B41" s="85">
        <v>851.5040000000008</v>
      </c>
      <c r="C41" s="85">
        <v>63.1099999999999</v>
      </c>
      <c r="D41" s="85"/>
      <c r="E41" s="85"/>
      <c r="F41" s="85"/>
      <c r="G41" s="85"/>
      <c r="H41" s="85"/>
      <c r="I41" s="85"/>
      <c r="J41" s="85"/>
      <c r="K41" s="85"/>
      <c r="L41" s="85">
        <v>326</v>
      </c>
      <c r="M41" s="85"/>
      <c r="N41" s="85"/>
      <c r="O41" s="85"/>
      <c r="P41" s="85"/>
      <c r="Q41" s="85"/>
      <c r="R41" s="85">
        <v>86.9</v>
      </c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412.9</v>
      </c>
      <c r="AG41" s="85">
        <f t="shared" si="8"/>
        <v>501.71400000000074</v>
      </c>
      <c r="AH41" s="97"/>
    </row>
    <row r="42" spans="1:33" s="87" customFormat="1" ht="15">
      <c r="A42" s="88" t="s">
        <v>3</v>
      </c>
      <c r="B42" s="85">
        <v>0.020000000000000018</v>
      </c>
      <c r="C42" s="85">
        <v>0.55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0.5700000000000001</v>
      </c>
    </row>
    <row r="43" spans="1:33" s="87" customFormat="1" ht="15">
      <c r="A43" s="88" t="s">
        <v>1</v>
      </c>
      <c r="B43" s="85">
        <v>10.048000000000002</v>
      </c>
      <c r="C43" s="85">
        <v>14.294000000000002</v>
      </c>
      <c r="D43" s="85"/>
      <c r="E43" s="85"/>
      <c r="F43" s="85"/>
      <c r="G43" s="85"/>
      <c r="H43" s="85"/>
      <c r="I43" s="85"/>
      <c r="J43" s="85"/>
      <c r="K43" s="85">
        <v>6.6</v>
      </c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6.6</v>
      </c>
      <c r="AG43" s="85">
        <f t="shared" si="8"/>
        <v>17.742000000000004</v>
      </c>
    </row>
    <row r="44" spans="1:33" s="87" customFormat="1" ht="15">
      <c r="A44" s="88" t="s">
        <v>2</v>
      </c>
      <c r="B44" s="85">
        <v>176.49800000000005</v>
      </c>
      <c r="C44" s="85">
        <v>173.873</v>
      </c>
      <c r="D44" s="85"/>
      <c r="E44" s="85"/>
      <c r="F44" s="85">
        <v>47.8</v>
      </c>
      <c r="G44" s="85"/>
      <c r="H44" s="85"/>
      <c r="I44" s="85"/>
      <c r="J44" s="85"/>
      <c r="K44" s="85">
        <v>45.7</v>
      </c>
      <c r="L44" s="85"/>
      <c r="M44" s="85"/>
      <c r="N44" s="85"/>
      <c r="O44" s="85"/>
      <c r="P44" s="85"/>
      <c r="Q44" s="85">
        <v>52.2</v>
      </c>
      <c r="R44" s="85">
        <v>4.2</v>
      </c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149.89999999999998</v>
      </c>
      <c r="AG44" s="85">
        <f t="shared" si="8"/>
        <v>200.47100000000006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27.650999999998675</v>
      </c>
      <c r="C46" s="85">
        <f t="shared" si="9"/>
        <v>20.3600000000001</v>
      </c>
      <c r="D46" s="85">
        <f t="shared" si="9"/>
        <v>0</v>
      </c>
      <c r="E46" s="85">
        <f t="shared" si="9"/>
        <v>0</v>
      </c>
      <c r="F46" s="85">
        <f t="shared" si="9"/>
        <v>0.20000000000000284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22.799999999999997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3.8999999999999986</v>
      </c>
      <c r="R46" s="85">
        <f t="shared" si="9"/>
        <v>-1.1546319456101628E-14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26.899999999999988</v>
      </c>
      <c r="AG46" s="85">
        <f>AG40-AG41-AG42-AG43-AG44-AG45</f>
        <v>21.11099999999857</v>
      </c>
    </row>
    <row r="47" spans="1:33" s="87" customFormat="1" ht="17.25" customHeight="1">
      <c r="A47" s="84" t="s">
        <v>43</v>
      </c>
      <c r="B47" s="86">
        <f>848.9-25.3</f>
        <v>823.6</v>
      </c>
      <c r="C47" s="85">
        <v>1473.6</v>
      </c>
      <c r="D47" s="85"/>
      <c r="E47" s="98">
        <v>28.5</v>
      </c>
      <c r="F47" s="98">
        <v>5.4</v>
      </c>
      <c r="G47" s="98"/>
      <c r="H47" s="98">
        <v>45.6</v>
      </c>
      <c r="I47" s="98"/>
      <c r="J47" s="98"/>
      <c r="K47" s="98">
        <v>202.4</v>
      </c>
      <c r="L47" s="98"/>
      <c r="M47" s="98">
        <v>94.6</v>
      </c>
      <c r="N47" s="98">
        <v>39.9</v>
      </c>
      <c r="O47" s="98"/>
      <c r="P47" s="98">
        <v>7.6</v>
      </c>
      <c r="Q47" s="98">
        <v>32.2</v>
      </c>
      <c r="R47" s="98">
        <v>127.8</v>
      </c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584</v>
      </c>
      <c r="AG47" s="85">
        <f>B47+C47-AF47</f>
        <v>1713.1999999999998</v>
      </c>
    </row>
    <row r="48" spans="1:33" s="87" customFormat="1" ht="15">
      <c r="A48" s="88" t="s">
        <v>5</v>
      </c>
      <c r="B48" s="85">
        <v>0</v>
      </c>
      <c r="C48" s="85">
        <v>21.699999999999996</v>
      </c>
      <c r="D48" s="85"/>
      <c r="E48" s="98"/>
      <c r="F48" s="98"/>
      <c r="G48" s="98"/>
      <c r="H48" s="98"/>
      <c r="I48" s="98"/>
      <c r="J48" s="98"/>
      <c r="K48" s="98"/>
      <c r="L48" s="98"/>
      <c r="M48" s="98">
        <v>19.5</v>
      </c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19.5</v>
      </c>
      <c r="AG48" s="85">
        <f>B48+C48-AF48</f>
        <v>2.1999999999999957</v>
      </c>
    </row>
    <row r="49" spans="1:33" s="87" customFormat="1" ht="15">
      <c r="A49" s="88" t="s">
        <v>16</v>
      </c>
      <c r="B49" s="85">
        <f>689.1-25.3</f>
        <v>663.8000000000001</v>
      </c>
      <c r="C49" s="85">
        <f>1241.9-5.3</f>
        <v>1236.6000000000001</v>
      </c>
      <c r="D49" s="85"/>
      <c r="E49" s="85"/>
      <c r="F49" s="85"/>
      <c r="G49" s="85"/>
      <c r="H49" s="85">
        <v>45.6</v>
      </c>
      <c r="I49" s="85"/>
      <c r="J49" s="85"/>
      <c r="K49" s="85">
        <v>202.3</v>
      </c>
      <c r="L49" s="85"/>
      <c r="M49" s="85">
        <v>65</v>
      </c>
      <c r="N49" s="85"/>
      <c r="O49" s="85"/>
      <c r="P49" s="85"/>
      <c r="Q49" s="85">
        <v>7</v>
      </c>
      <c r="R49" s="85">
        <v>51.4</v>
      </c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371.29999999999995</v>
      </c>
      <c r="AG49" s="85">
        <f>B49+C49-AF49</f>
        <v>1529.1000000000001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159.79999999999995</v>
      </c>
      <c r="C51" s="85">
        <f>C47-C48-C49</f>
        <v>215.29999999999973</v>
      </c>
      <c r="D51" s="85">
        <f t="shared" si="10"/>
        <v>0</v>
      </c>
      <c r="E51" s="85">
        <f t="shared" si="10"/>
        <v>28.5</v>
      </c>
      <c r="F51" s="85">
        <f t="shared" si="10"/>
        <v>5.4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0.09999999999999432</v>
      </c>
      <c r="L51" s="85">
        <f t="shared" si="10"/>
        <v>0</v>
      </c>
      <c r="M51" s="85">
        <f t="shared" si="10"/>
        <v>10.099999999999994</v>
      </c>
      <c r="N51" s="85">
        <f t="shared" si="10"/>
        <v>39.9</v>
      </c>
      <c r="O51" s="85">
        <f t="shared" si="10"/>
        <v>0</v>
      </c>
      <c r="P51" s="85">
        <f t="shared" si="10"/>
        <v>7.6</v>
      </c>
      <c r="Q51" s="85">
        <f t="shared" si="10"/>
        <v>25.200000000000003</v>
      </c>
      <c r="R51" s="85">
        <f t="shared" si="10"/>
        <v>76.4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193.2</v>
      </c>
      <c r="AG51" s="85">
        <f>AG47-AG49-AG48</f>
        <v>181.8999999999997</v>
      </c>
    </row>
    <row r="52" spans="1:33" s="87" customFormat="1" ht="15" customHeight="1">
      <c r="A52" s="84" t="s">
        <v>0</v>
      </c>
      <c r="B52" s="85">
        <f>6284-333.8</f>
        <v>5950.2</v>
      </c>
      <c r="C52" s="85">
        <v>5725.5</v>
      </c>
      <c r="D52" s="85"/>
      <c r="E52" s="85">
        <v>1135.2</v>
      </c>
      <c r="F52" s="85"/>
      <c r="G52" s="85">
        <v>1038.3</v>
      </c>
      <c r="H52" s="85"/>
      <c r="I52" s="85">
        <v>8.1</v>
      </c>
      <c r="J52" s="85">
        <v>83.4</v>
      </c>
      <c r="K52" s="85">
        <v>31.3</v>
      </c>
      <c r="L52" s="85">
        <v>431.4</v>
      </c>
      <c r="M52" s="85">
        <v>239.1</v>
      </c>
      <c r="N52" s="85">
        <v>32.7</v>
      </c>
      <c r="O52" s="85">
        <v>66.5</v>
      </c>
      <c r="P52" s="85">
        <v>602.2</v>
      </c>
      <c r="Q52" s="85">
        <v>663.6</v>
      </c>
      <c r="R52" s="85">
        <v>249.9</v>
      </c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4581.7</v>
      </c>
      <c r="AG52" s="85">
        <f aca="true" t="shared" si="11" ref="AG52:AG59">B52+C52-AF52</f>
        <v>7094.000000000001</v>
      </c>
    </row>
    <row r="53" spans="1:33" s="87" customFormat="1" ht="15" customHeight="1">
      <c r="A53" s="88" t="s">
        <v>2</v>
      </c>
      <c r="B53" s="85">
        <f>1959+612.9</f>
        <v>2571.9</v>
      </c>
      <c r="C53" s="85">
        <v>552.3000000000002</v>
      </c>
      <c r="D53" s="85"/>
      <c r="E53" s="85"/>
      <c r="F53" s="85"/>
      <c r="G53" s="85">
        <v>1031.7</v>
      </c>
      <c r="H53" s="85"/>
      <c r="I53" s="85"/>
      <c r="J53" s="85">
        <v>3.7</v>
      </c>
      <c r="K53" s="85"/>
      <c r="L53" s="85"/>
      <c r="M53" s="85">
        <v>62.3</v>
      </c>
      <c r="N53" s="85"/>
      <c r="O53" s="85"/>
      <c r="P53" s="85"/>
      <c r="Q53" s="85">
        <v>1</v>
      </c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1098.7</v>
      </c>
      <c r="AG53" s="85">
        <f t="shared" si="11"/>
        <v>2025.5000000000002</v>
      </c>
    </row>
    <row r="54" spans="1:34" s="87" customFormat="1" ht="15">
      <c r="A54" s="84" t="s">
        <v>9</v>
      </c>
      <c r="B54" s="90">
        <f>5707.9+59</f>
        <v>5766.9</v>
      </c>
      <c r="C54" s="85">
        <v>1938.5</v>
      </c>
      <c r="D54" s="85">
        <v>-7</v>
      </c>
      <c r="E54" s="85">
        <v>2.3</v>
      </c>
      <c r="F54" s="85">
        <v>215.2</v>
      </c>
      <c r="G54" s="85">
        <v>199.7</v>
      </c>
      <c r="H54" s="85"/>
      <c r="I54" s="85">
        <v>8.1</v>
      </c>
      <c r="J54" s="85">
        <v>10.3</v>
      </c>
      <c r="K54" s="85">
        <v>302.2</v>
      </c>
      <c r="L54" s="85">
        <v>2180.3</v>
      </c>
      <c r="M54" s="85">
        <v>109.8</v>
      </c>
      <c r="N54" s="85">
        <v>161.5</v>
      </c>
      <c r="O54" s="85">
        <v>3.3</v>
      </c>
      <c r="P54" s="85">
        <v>150.2</v>
      </c>
      <c r="Q54" s="85">
        <v>118.9</v>
      </c>
      <c r="R54" s="85">
        <v>270.5</v>
      </c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3725.3000000000006</v>
      </c>
      <c r="AG54" s="85">
        <f t="shared" si="11"/>
        <v>3980.099999999999</v>
      </c>
      <c r="AH54" s="97"/>
    </row>
    <row r="55" spans="1:34" s="87" customFormat="1" ht="15">
      <c r="A55" s="88" t="s">
        <v>5</v>
      </c>
      <c r="B55" s="85">
        <f>4215.39999999999+14</f>
        <v>4229.39999999999</v>
      </c>
      <c r="C55" s="85">
        <v>535.7999999999993</v>
      </c>
      <c r="D55" s="85">
        <v>-7</v>
      </c>
      <c r="E55" s="85"/>
      <c r="F55" s="85"/>
      <c r="G55" s="85"/>
      <c r="H55" s="85"/>
      <c r="I55" s="85"/>
      <c r="J55" s="85"/>
      <c r="K55" s="85"/>
      <c r="L55" s="85">
        <v>2180.3</v>
      </c>
      <c r="M55" s="85"/>
      <c r="N55" s="85"/>
      <c r="O55" s="85"/>
      <c r="P55" s="85"/>
      <c r="Q55" s="85"/>
      <c r="R55" s="85">
        <v>3.8</v>
      </c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2177.1000000000004</v>
      </c>
      <c r="AG55" s="85">
        <f t="shared" si="11"/>
        <v>2588.0999999999885</v>
      </c>
      <c r="AH55" s="97"/>
    </row>
    <row r="56" spans="1:34" s="87" customFormat="1" ht="15" customHeight="1" hidden="1">
      <c r="A56" s="88" t="s">
        <v>1</v>
      </c>
      <c r="B56" s="85">
        <v>0</v>
      </c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491.54367</v>
      </c>
      <c r="C57" s="85">
        <v>668.2</v>
      </c>
      <c r="D57" s="85"/>
      <c r="E57" s="85"/>
      <c r="F57" s="85"/>
      <c r="G57" s="85">
        <v>65.6</v>
      </c>
      <c r="H57" s="85"/>
      <c r="I57" s="85">
        <v>1.7</v>
      </c>
      <c r="J57" s="85"/>
      <c r="K57" s="85">
        <v>198.7</v>
      </c>
      <c r="L57" s="85"/>
      <c r="M57" s="85">
        <v>0.5</v>
      </c>
      <c r="N57" s="85">
        <v>155.2</v>
      </c>
      <c r="O57" s="85">
        <v>3.3</v>
      </c>
      <c r="P57" s="85"/>
      <c r="Q57" s="85">
        <v>4.3</v>
      </c>
      <c r="R57" s="85">
        <v>109.8</v>
      </c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539.1</v>
      </c>
      <c r="AG57" s="85">
        <f t="shared" si="11"/>
        <v>620.64367</v>
      </c>
    </row>
    <row r="58" spans="1:33" s="87" customFormat="1" ht="15">
      <c r="A58" s="88" t="s">
        <v>16</v>
      </c>
      <c r="B58" s="86">
        <v>5.099999999999994</v>
      </c>
      <c r="C58" s="85">
        <v>0</v>
      </c>
      <c r="D58" s="85"/>
      <c r="E58" s="85"/>
      <c r="F58" s="85"/>
      <c r="G58" s="85">
        <v>1.2</v>
      </c>
      <c r="H58" s="85"/>
      <c r="I58" s="85">
        <v>3.9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5.1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/>
      <c r="C60" s="85">
        <f aca="true" t="shared" si="12" ref="C60:AD60">C54-C55-C57-C59-C56-C58</f>
        <v>734.5000000000007</v>
      </c>
      <c r="D60" s="85">
        <f t="shared" si="12"/>
        <v>0</v>
      </c>
      <c r="E60" s="85">
        <f t="shared" si="12"/>
        <v>2.3</v>
      </c>
      <c r="F60" s="85">
        <f t="shared" si="12"/>
        <v>215.2</v>
      </c>
      <c r="G60" s="85">
        <f t="shared" si="12"/>
        <v>132.9</v>
      </c>
      <c r="H60" s="85">
        <f t="shared" si="12"/>
        <v>0</v>
      </c>
      <c r="I60" s="85">
        <f t="shared" si="12"/>
        <v>2.4999999999999996</v>
      </c>
      <c r="J60" s="85">
        <f t="shared" si="12"/>
        <v>10.3</v>
      </c>
      <c r="K60" s="85">
        <f t="shared" si="12"/>
        <v>103.5</v>
      </c>
      <c r="L60" s="85">
        <f t="shared" si="12"/>
        <v>0</v>
      </c>
      <c r="M60" s="85">
        <f t="shared" si="12"/>
        <v>109.3</v>
      </c>
      <c r="N60" s="85">
        <f t="shared" si="12"/>
        <v>6.300000000000011</v>
      </c>
      <c r="O60" s="85">
        <f t="shared" si="12"/>
        <v>0</v>
      </c>
      <c r="P60" s="85">
        <f t="shared" si="12"/>
        <v>150.2</v>
      </c>
      <c r="Q60" s="85">
        <f>Q54-Q55-Q57-Q59-Q56-Q58</f>
        <v>114.60000000000001</v>
      </c>
      <c r="R60" s="85">
        <f t="shared" si="12"/>
        <v>156.89999999999998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1004.0000000000002</v>
      </c>
      <c r="AG60" s="85">
        <f>AG54-AG55-AG57-AG59-AG56-AG58</f>
        <v>771.3563300000104</v>
      </c>
    </row>
    <row r="61" spans="1:33" s="87" customFormat="1" ht="15" customHeight="1">
      <c r="A61" s="84" t="s">
        <v>10</v>
      </c>
      <c r="B61" s="85">
        <v>61.000000000000455</v>
      </c>
      <c r="C61" s="85">
        <v>587.9</v>
      </c>
      <c r="D61" s="85"/>
      <c r="E61" s="85">
        <v>5.6</v>
      </c>
      <c r="F61" s="85"/>
      <c r="G61" s="85"/>
      <c r="H61" s="85"/>
      <c r="I61" s="85"/>
      <c r="J61" s="85">
        <v>2</v>
      </c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7.6</v>
      </c>
      <c r="AG61" s="85">
        <f aca="true" t="shared" si="14" ref="AG61:AG67">B61+C61-AF61</f>
        <v>641.3000000000004</v>
      </c>
    </row>
    <row r="62" spans="1:33" s="87" customFormat="1" ht="15" customHeight="1">
      <c r="A62" s="84" t="s">
        <v>11</v>
      </c>
      <c r="B62" s="85">
        <f>2360.9+363.6</f>
        <v>2724.5</v>
      </c>
      <c r="C62" s="85">
        <v>2060.2</v>
      </c>
      <c r="D62" s="85"/>
      <c r="E62" s="85">
        <v>24.7</v>
      </c>
      <c r="F62" s="85">
        <v>163.6</v>
      </c>
      <c r="G62" s="85">
        <v>0.1</v>
      </c>
      <c r="H62" s="85">
        <v>0.7</v>
      </c>
      <c r="I62" s="85">
        <v>160.2</v>
      </c>
      <c r="J62" s="85"/>
      <c r="K62" s="85">
        <v>186.3</v>
      </c>
      <c r="L62" s="85">
        <v>514.3</v>
      </c>
      <c r="M62" s="85">
        <v>128.9</v>
      </c>
      <c r="N62" s="85"/>
      <c r="O62" s="85"/>
      <c r="P62" s="85">
        <v>453.6</v>
      </c>
      <c r="Q62" s="85">
        <v>25.1</v>
      </c>
      <c r="R62" s="85">
        <v>128.8</v>
      </c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1786.3</v>
      </c>
      <c r="AG62" s="85">
        <f t="shared" si="14"/>
        <v>2998.3999999999996</v>
      </c>
    </row>
    <row r="63" spans="1:34" s="87" customFormat="1" ht="15">
      <c r="A63" s="88" t="s">
        <v>5</v>
      </c>
      <c r="B63" s="85">
        <f>1481.7-9.6</f>
        <v>1472.1000000000001</v>
      </c>
      <c r="C63" s="85">
        <v>80.99999999999977</v>
      </c>
      <c r="D63" s="85"/>
      <c r="E63" s="85"/>
      <c r="F63" s="85"/>
      <c r="G63" s="85"/>
      <c r="H63" s="85"/>
      <c r="I63" s="85"/>
      <c r="J63" s="85"/>
      <c r="K63" s="85"/>
      <c r="L63" s="85">
        <v>514.1</v>
      </c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514.1</v>
      </c>
      <c r="AG63" s="85">
        <f t="shared" si="14"/>
        <v>1039</v>
      </c>
      <c r="AH63" s="108"/>
    </row>
    <row r="64" spans="1:34" s="87" customFormat="1" ht="15">
      <c r="A64" s="88" t="s">
        <v>3</v>
      </c>
      <c r="B64" s="85">
        <v>3.25</v>
      </c>
      <c r="C64" s="85">
        <v>3.3999999999999986</v>
      </c>
      <c r="D64" s="85"/>
      <c r="E64" s="85"/>
      <c r="F64" s="85">
        <v>5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5</v>
      </c>
      <c r="AG64" s="85">
        <f t="shared" si="14"/>
        <v>1.6499999999999986</v>
      </c>
      <c r="AH64" s="97"/>
    </row>
    <row r="65" spans="1:34" s="87" customFormat="1" ht="15">
      <c r="A65" s="88" t="s">
        <v>1</v>
      </c>
      <c r="B65" s="85">
        <v>65.90000000000009</v>
      </c>
      <c r="C65" s="85">
        <v>106.59999999999997</v>
      </c>
      <c r="D65" s="85"/>
      <c r="E65" s="85"/>
      <c r="F65" s="85">
        <v>22.3</v>
      </c>
      <c r="G65" s="85"/>
      <c r="H65" s="85"/>
      <c r="I65" s="85">
        <v>11</v>
      </c>
      <c r="J65" s="85"/>
      <c r="K65" s="85">
        <v>2.2</v>
      </c>
      <c r="L65" s="85"/>
      <c r="M65" s="85">
        <v>14.2</v>
      </c>
      <c r="N65" s="85"/>
      <c r="O65" s="85"/>
      <c r="P65" s="85">
        <v>29.1</v>
      </c>
      <c r="Q65" s="85"/>
      <c r="R65" s="85">
        <v>13.6</v>
      </c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92.4</v>
      </c>
      <c r="AG65" s="85">
        <f t="shared" si="14"/>
        <v>80.10000000000005</v>
      </c>
      <c r="AH65" s="97"/>
    </row>
    <row r="66" spans="1:33" s="87" customFormat="1" ht="15">
      <c r="A66" s="88" t="s">
        <v>2</v>
      </c>
      <c r="B66" s="85">
        <v>200.78200000000004</v>
      </c>
      <c r="C66" s="85">
        <v>235.60000000000002</v>
      </c>
      <c r="D66" s="85"/>
      <c r="E66" s="85"/>
      <c r="F66" s="85">
        <v>61.2</v>
      </c>
      <c r="G66" s="85"/>
      <c r="H66" s="85"/>
      <c r="I66" s="85">
        <v>15</v>
      </c>
      <c r="J66" s="85"/>
      <c r="K66" s="85">
        <v>13.7</v>
      </c>
      <c r="L66" s="85">
        <v>0.2</v>
      </c>
      <c r="M66" s="85">
        <v>28.3</v>
      </c>
      <c r="N66" s="85"/>
      <c r="O66" s="85"/>
      <c r="P66" s="85">
        <v>13.4</v>
      </c>
      <c r="Q66" s="85"/>
      <c r="R66" s="85">
        <v>8.2</v>
      </c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140</v>
      </c>
      <c r="AG66" s="85">
        <f t="shared" si="14"/>
        <v>296.38200000000006</v>
      </c>
    </row>
    <row r="67" spans="1:33" s="87" customFormat="1" ht="15">
      <c r="A67" s="88" t="s">
        <v>16</v>
      </c>
      <c r="B67" s="85">
        <f>49.5379999999999+200</f>
        <v>249.5379999999999</v>
      </c>
      <c r="C67" s="85">
        <v>529.3000000000001</v>
      </c>
      <c r="D67" s="85"/>
      <c r="E67" s="85"/>
      <c r="F67" s="85">
        <v>40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738.838</v>
      </c>
    </row>
    <row r="68" spans="1:33" s="87" customFormat="1" ht="15">
      <c r="A68" s="88" t="s">
        <v>23</v>
      </c>
      <c r="B68" s="85">
        <f aca="true" t="shared" si="15" ref="B68:AD68">B62-B63-B66-B67-B65-B64</f>
        <v>732.93</v>
      </c>
      <c r="C68" s="85">
        <f t="shared" si="15"/>
        <v>1104.2999999999997</v>
      </c>
      <c r="D68" s="85">
        <f t="shared" si="15"/>
        <v>0</v>
      </c>
      <c r="E68" s="85">
        <f t="shared" si="15"/>
        <v>24.7</v>
      </c>
      <c r="F68" s="85">
        <f t="shared" si="15"/>
        <v>35.099999999999994</v>
      </c>
      <c r="G68" s="85">
        <f t="shared" si="15"/>
        <v>0.1</v>
      </c>
      <c r="H68" s="85">
        <f t="shared" si="15"/>
        <v>0.7</v>
      </c>
      <c r="I68" s="85">
        <f t="shared" si="15"/>
        <v>134.2</v>
      </c>
      <c r="J68" s="85">
        <f t="shared" si="15"/>
        <v>0</v>
      </c>
      <c r="K68" s="85">
        <f t="shared" si="15"/>
        <v>170.40000000000003</v>
      </c>
      <c r="L68" s="85">
        <f t="shared" si="15"/>
        <v>-6.822320486321587E-14</v>
      </c>
      <c r="M68" s="85">
        <f t="shared" si="15"/>
        <v>86.4</v>
      </c>
      <c r="N68" s="85">
        <f t="shared" si="15"/>
        <v>0</v>
      </c>
      <c r="O68" s="85">
        <f t="shared" si="15"/>
        <v>0</v>
      </c>
      <c r="P68" s="85">
        <f t="shared" si="15"/>
        <v>411.1</v>
      </c>
      <c r="Q68" s="85">
        <f t="shared" si="15"/>
        <v>25.1</v>
      </c>
      <c r="R68" s="85">
        <f t="shared" si="15"/>
        <v>107.00000000000001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994.8000000000001</v>
      </c>
      <c r="AG68" s="85">
        <f>AG62-AG63-AG66-AG67-AG65-AG64</f>
        <v>842.4299999999996</v>
      </c>
    </row>
    <row r="69" spans="1:33" s="87" customFormat="1" ht="30.75">
      <c r="A69" s="84" t="s">
        <v>46</v>
      </c>
      <c r="B69" s="85">
        <v>4002.4999999999927</v>
      </c>
      <c r="C69" s="85">
        <v>1774.5999999999985</v>
      </c>
      <c r="D69" s="85"/>
      <c r="E69" s="85"/>
      <c r="F69" s="85"/>
      <c r="G69" s="85">
        <v>2255.1</v>
      </c>
      <c r="H69" s="85"/>
      <c r="I69" s="85"/>
      <c r="J69" s="85"/>
      <c r="K69" s="85"/>
      <c r="L69" s="85"/>
      <c r="M69" s="85"/>
      <c r="N69" s="85"/>
      <c r="O69" s="85">
        <v>2689.6</v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4944.7</v>
      </c>
      <c r="AG69" s="102">
        <f aca="true" t="shared" si="16" ref="AG69:AG92">B69+C69-AF69</f>
        <v>832.3999999999915</v>
      </c>
    </row>
    <row r="70" spans="1:33" s="87" customFormat="1" ht="15" hidden="1">
      <c r="A70" s="84" t="s">
        <v>32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503.39999999999964</v>
      </c>
      <c r="C71" s="98">
        <v>241.49999999999966</v>
      </c>
      <c r="D71" s="98"/>
      <c r="E71" s="98">
        <v>723.2</v>
      </c>
      <c r="F71" s="98"/>
      <c r="G71" s="98"/>
      <c r="H71" s="98"/>
      <c r="I71" s="98"/>
      <c r="J71" s="98"/>
      <c r="K71" s="98"/>
      <c r="L71" s="98"/>
      <c r="M71" s="98">
        <v>21.7</v>
      </c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744.9000000000001</v>
      </c>
      <c r="AG71" s="102">
        <f t="shared" si="16"/>
        <v>0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1194.8-223.4</f>
        <v>971.4</v>
      </c>
      <c r="C72" s="85">
        <v>4603.6</v>
      </c>
      <c r="D72" s="85"/>
      <c r="E72" s="85">
        <v>7.2</v>
      </c>
      <c r="F72" s="85">
        <v>87.8</v>
      </c>
      <c r="G72" s="85">
        <v>284.6</v>
      </c>
      <c r="H72" s="85">
        <v>2.2</v>
      </c>
      <c r="I72" s="85">
        <v>141.5</v>
      </c>
      <c r="J72" s="85">
        <v>109.3</v>
      </c>
      <c r="K72" s="85">
        <v>32.6</v>
      </c>
      <c r="L72" s="85">
        <v>25.6</v>
      </c>
      <c r="M72" s="85">
        <v>216</v>
      </c>
      <c r="N72" s="85">
        <v>6.7</v>
      </c>
      <c r="O72" s="85">
        <v>93.5</v>
      </c>
      <c r="P72" s="85">
        <v>10.7</v>
      </c>
      <c r="Q72" s="85">
        <v>252</v>
      </c>
      <c r="R72" s="85">
        <v>579.9</v>
      </c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1849.6</v>
      </c>
      <c r="AG72" s="102">
        <f t="shared" si="16"/>
        <v>3725.4</v>
      </c>
    </row>
    <row r="73" spans="1:33" s="87" customFormat="1" ht="15" customHeight="1">
      <c r="A73" s="88" t="s">
        <v>5</v>
      </c>
      <c r="B73" s="85">
        <v>39.099999999999966</v>
      </c>
      <c r="C73" s="85">
        <v>0.09999999999999432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>
        <v>39</v>
      </c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39</v>
      </c>
      <c r="AG73" s="102">
        <f t="shared" si="16"/>
        <v>0.1999999999999602</v>
      </c>
    </row>
    <row r="74" spans="1:33" s="87" customFormat="1" ht="15" customHeight="1">
      <c r="A74" s="88" t="s">
        <v>2</v>
      </c>
      <c r="B74" s="85">
        <v>376</v>
      </c>
      <c r="C74" s="85">
        <v>1366.3000000000002</v>
      </c>
      <c r="D74" s="85"/>
      <c r="E74" s="85">
        <v>0.5</v>
      </c>
      <c r="F74" s="85"/>
      <c r="G74" s="85">
        <v>119.4</v>
      </c>
      <c r="H74" s="85"/>
      <c r="I74" s="85">
        <v>16.6</v>
      </c>
      <c r="J74" s="85"/>
      <c r="K74" s="85"/>
      <c r="L74" s="85"/>
      <c r="M74" s="85"/>
      <c r="N74" s="85"/>
      <c r="O74" s="85"/>
      <c r="P74" s="85"/>
      <c r="Q74" s="85"/>
      <c r="R74" s="85">
        <v>152.8</v>
      </c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289.3</v>
      </c>
      <c r="AG74" s="102">
        <f t="shared" si="16"/>
        <v>1453.0000000000002</v>
      </c>
    </row>
    <row r="75" spans="1:33" s="87" customFormat="1" ht="15" customHeight="1">
      <c r="A75" s="88" t="s">
        <v>16</v>
      </c>
      <c r="B75" s="85">
        <v>224.00000000000003</v>
      </c>
      <c r="C75" s="85">
        <v>147.3</v>
      </c>
      <c r="D75" s="85"/>
      <c r="E75" s="85">
        <v>6.4</v>
      </c>
      <c r="F75" s="85"/>
      <c r="G75" s="85"/>
      <c r="H75" s="85"/>
      <c r="I75" s="85"/>
      <c r="J75" s="85"/>
      <c r="K75" s="85"/>
      <c r="L75" s="85">
        <v>8.2</v>
      </c>
      <c r="M75" s="85"/>
      <c r="N75" s="85"/>
      <c r="O75" s="85"/>
      <c r="P75" s="85">
        <v>10.7</v>
      </c>
      <c r="Q75" s="85">
        <v>49.4</v>
      </c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74.69999999999999</v>
      </c>
      <c r="AG75" s="102">
        <f t="shared" si="16"/>
        <v>296.6000000000001</v>
      </c>
    </row>
    <row r="76" spans="1:33" s="105" customFormat="1" ht="15">
      <c r="A76" s="104" t="s">
        <v>49</v>
      </c>
      <c r="B76" s="85">
        <v>108.90000000000009</v>
      </c>
      <c r="C76" s="85">
        <v>115.20000000000002</v>
      </c>
      <c r="D76" s="85"/>
      <c r="E76" s="98">
        <v>15.5</v>
      </c>
      <c r="F76" s="98"/>
      <c r="G76" s="98"/>
      <c r="H76" s="98"/>
      <c r="I76" s="98">
        <v>16.9</v>
      </c>
      <c r="J76" s="98"/>
      <c r="K76" s="98">
        <v>6.3</v>
      </c>
      <c r="L76" s="98">
        <v>25.1</v>
      </c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63.8</v>
      </c>
      <c r="AG76" s="102">
        <f t="shared" si="16"/>
        <v>160.30000000000013</v>
      </c>
    </row>
    <row r="77" spans="1:33" s="105" customFormat="1" ht="15">
      <c r="A77" s="88" t="s">
        <v>5</v>
      </c>
      <c r="B77" s="85">
        <v>89.5</v>
      </c>
      <c r="C77" s="85">
        <v>14.600000000000009</v>
      </c>
      <c r="D77" s="85"/>
      <c r="E77" s="98">
        <v>11.2</v>
      </c>
      <c r="F77" s="98"/>
      <c r="G77" s="98"/>
      <c r="H77" s="98"/>
      <c r="I77" s="98"/>
      <c r="J77" s="98"/>
      <c r="K77" s="98"/>
      <c r="L77" s="98">
        <v>25.1</v>
      </c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36.3</v>
      </c>
      <c r="AG77" s="102">
        <f t="shared" si="16"/>
        <v>67.80000000000001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4.5</v>
      </c>
      <c r="C80" s="85">
        <v>12.1</v>
      </c>
      <c r="D80" s="85"/>
      <c r="E80" s="98">
        <v>4.3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4.3</v>
      </c>
      <c r="AG80" s="102">
        <f t="shared" si="16"/>
        <v>12.3</v>
      </c>
    </row>
    <row r="81" spans="1:38" s="105" customFormat="1" ht="15">
      <c r="A81" s="104" t="s">
        <v>50</v>
      </c>
      <c r="B81" s="85">
        <v>51.900000000000006</v>
      </c>
      <c r="C81" s="98">
        <v>49.7</v>
      </c>
      <c r="D81" s="98"/>
      <c r="E81" s="98"/>
      <c r="F81" s="98"/>
      <c r="G81" s="98"/>
      <c r="H81" s="98"/>
      <c r="I81" s="98"/>
      <c r="J81" s="98">
        <v>51.1</v>
      </c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51.1</v>
      </c>
      <c r="AG81" s="102">
        <f t="shared" si="16"/>
        <v>50.50000000000001</v>
      </c>
      <c r="AI81" s="106"/>
      <c r="AL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f>28+52.7</f>
        <v>80.7</v>
      </c>
      <c r="C83" s="98">
        <v>45.10000000000013</v>
      </c>
      <c r="D83" s="98"/>
      <c r="E83" s="98">
        <v>73.1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>
        <v>-0.5</v>
      </c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72.6</v>
      </c>
      <c r="AG83" s="85">
        <f t="shared" si="16"/>
        <v>53.20000000000013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11755.5-319</f>
        <v>11436.5</v>
      </c>
      <c r="C89" s="85">
        <v>7479.300000000003</v>
      </c>
      <c r="D89" s="85"/>
      <c r="E89" s="85">
        <v>257.1</v>
      </c>
      <c r="F89" s="85"/>
      <c r="G89" s="85">
        <f>991.9+315.5</f>
        <v>1307.4</v>
      </c>
      <c r="H89" s="85"/>
      <c r="I89" s="85"/>
      <c r="J89" s="85"/>
      <c r="K89" s="85"/>
      <c r="L89" s="85">
        <v>342.5</v>
      </c>
      <c r="M89" s="85"/>
      <c r="N89" s="85"/>
      <c r="O89" s="85"/>
      <c r="P89" s="85"/>
      <c r="Q89" s="85">
        <v>526.7</v>
      </c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2433.7</v>
      </c>
      <c r="AG89" s="85">
        <f t="shared" si="16"/>
        <v>16482.100000000002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>
        <v>819</v>
      </c>
      <c r="J90" s="85"/>
      <c r="K90" s="85"/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1638</v>
      </c>
      <c r="AG90" s="85">
        <f t="shared" si="16"/>
        <v>819.0999999999999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28994.9-346.3</f>
        <v>28648.600000000002</v>
      </c>
      <c r="C92" s="85">
        <v>1426.4000000000087</v>
      </c>
      <c r="D92" s="85">
        <f>966.6+120.1</f>
        <v>1086.7</v>
      </c>
      <c r="E92" s="85">
        <v>3270.97</v>
      </c>
      <c r="F92" s="85"/>
      <c r="G92" s="85">
        <v>110</v>
      </c>
      <c r="H92" s="85">
        <f>3875.7+630.5</f>
        <v>4506.2</v>
      </c>
      <c r="I92" s="85">
        <f>5365.3+124.9</f>
        <v>5490.2</v>
      </c>
      <c r="J92" s="85">
        <f>2908.8+496.4+658.7</f>
        <v>4063.9000000000005</v>
      </c>
      <c r="K92" s="85">
        <f>6118.1+1153.3</f>
        <v>7271.400000000001</v>
      </c>
      <c r="L92" s="85"/>
      <c r="M92" s="85">
        <f>1541.8+43.5</f>
        <v>1585.3</v>
      </c>
      <c r="N92" s="85">
        <v>172.5</v>
      </c>
      <c r="O92" s="85"/>
      <c r="P92" s="85"/>
      <c r="Q92" s="85">
        <v>218.8</v>
      </c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27775.97</v>
      </c>
      <c r="AG92" s="85">
        <f t="shared" si="16"/>
        <v>2299.0300000000097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165220.21</v>
      </c>
      <c r="C94" s="42">
        <f t="shared" si="17"/>
        <v>87709.34909999999</v>
      </c>
      <c r="D94" s="42">
        <f t="shared" si="17"/>
        <v>1079.7</v>
      </c>
      <c r="E94" s="42">
        <f t="shared" si="17"/>
        <v>5672.369999999999</v>
      </c>
      <c r="F94" s="42">
        <f t="shared" si="17"/>
        <v>3145.1</v>
      </c>
      <c r="G94" s="42">
        <f t="shared" si="17"/>
        <v>7842.199999999999</v>
      </c>
      <c r="H94" s="42">
        <f>H10+H15+H24+H33+H47+H52+H54+H61+H62+H69+H71+H72+H76+H81+H82+H83+H88+H89+H90+H91+H40+H92+H70</f>
        <v>7923.299999999999</v>
      </c>
      <c r="I94" s="42">
        <f t="shared" si="17"/>
        <v>9180.3</v>
      </c>
      <c r="J94" s="42">
        <f t="shared" si="17"/>
        <v>11723.400000000001</v>
      </c>
      <c r="K94" s="42">
        <f t="shared" si="17"/>
        <v>12717.300000000001</v>
      </c>
      <c r="L94" s="42">
        <f t="shared" si="17"/>
        <v>29405.599999999995</v>
      </c>
      <c r="M94" s="42">
        <f t="shared" si="17"/>
        <v>2573.4</v>
      </c>
      <c r="N94" s="42">
        <f t="shared" si="17"/>
        <v>6744.299999999999</v>
      </c>
      <c r="O94" s="42">
        <f t="shared" si="17"/>
        <v>3546.2</v>
      </c>
      <c r="P94" s="42">
        <f t="shared" si="17"/>
        <v>4486.9</v>
      </c>
      <c r="Q94" s="42">
        <f t="shared" si="17"/>
        <v>5670.500000000001</v>
      </c>
      <c r="R94" s="42">
        <f t="shared" si="17"/>
        <v>25036.199999999997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136746.77000000002</v>
      </c>
      <c r="AG94" s="58">
        <f>AG10+AG15+AG24+AG33+AG47+AG52+AG54+AG61+AG62+AG69+AG71+AG72+AG76+AG81+AG82+AG83+AG88+AG89+AG90+AG91+AG70+AG40+AG92</f>
        <v>116182.7891</v>
      </c>
    </row>
    <row r="95" spans="1:36" ht="15">
      <c r="A95" s="3" t="s">
        <v>5</v>
      </c>
      <c r="B95" s="22">
        <f aca="true" t="shared" si="18" ref="B95:AD95">B11+B17+B26+B34+B55+B63+B73+B41+B77+B48</f>
        <v>55261.55627999999</v>
      </c>
      <c r="C95" s="22">
        <f t="shared" si="18"/>
        <v>28165.260999999995</v>
      </c>
      <c r="D95" s="22">
        <f t="shared" si="18"/>
        <v>-7</v>
      </c>
      <c r="E95" s="22">
        <f t="shared" si="18"/>
        <v>67.4</v>
      </c>
      <c r="F95" s="22">
        <f t="shared" si="18"/>
        <v>50.6</v>
      </c>
      <c r="G95" s="22">
        <f t="shared" si="18"/>
        <v>41.7</v>
      </c>
      <c r="H95" s="22">
        <f t="shared" si="18"/>
        <v>864.1</v>
      </c>
      <c r="I95" s="22">
        <f t="shared" si="18"/>
        <v>0</v>
      </c>
      <c r="J95" s="22">
        <f t="shared" si="18"/>
        <v>151.6</v>
      </c>
      <c r="K95" s="22">
        <f t="shared" si="18"/>
        <v>13.8</v>
      </c>
      <c r="L95" s="22">
        <f t="shared" si="18"/>
        <v>26636.799999999992</v>
      </c>
      <c r="M95" s="22">
        <f t="shared" si="18"/>
        <v>19.5</v>
      </c>
      <c r="N95" s="22">
        <f t="shared" si="18"/>
        <v>10.6</v>
      </c>
      <c r="O95" s="22">
        <f t="shared" si="18"/>
        <v>2.1</v>
      </c>
      <c r="P95" s="22">
        <f t="shared" si="18"/>
        <v>0</v>
      </c>
      <c r="Q95" s="22">
        <f t="shared" si="18"/>
        <v>278.1</v>
      </c>
      <c r="R95" s="22">
        <f t="shared" si="18"/>
        <v>144.4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28273.69999999999</v>
      </c>
      <c r="AG95" s="27">
        <f>B95+C95-AF95</f>
        <v>55153.11728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14589.748139999998</v>
      </c>
      <c r="C96" s="22">
        <f t="shared" si="19"/>
        <v>12157.444000000003</v>
      </c>
      <c r="D96" s="22">
        <f t="shared" si="19"/>
        <v>0</v>
      </c>
      <c r="E96" s="22">
        <f t="shared" si="19"/>
        <v>14.600000000000001</v>
      </c>
      <c r="F96" s="22">
        <f t="shared" si="19"/>
        <v>2128.7000000000003</v>
      </c>
      <c r="G96" s="22">
        <f t="shared" si="19"/>
        <v>1216.7</v>
      </c>
      <c r="H96" s="22">
        <f t="shared" si="19"/>
        <v>1476.9</v>
      </c>
      <c r="I96" s="22">
        <f t="shared" si="19"/>
        <v>64.9</v>
      </c>
      <c r="J96" s="22">
        <f t="shared" si="19"/>
        <v>364</v>
      </c>
      <c r="K96" s="22">
        <f t="shared" si="19"/>
        <v>410.9</v>
      </c>
      <c r="L96" s="22">
        <f t="shared" si="19"/>
        <v>147.39999999999998</v>
      </c>
      <c r="M96" s="22">
        <f t="shared" si="19"/>
        <v>91.1</v>
      </c>
      <c r="N96" s="22">
        <f t="shared" si="19"/>
        <v>1174.6</v>
      </c>
      <c r="O96" s="22">
        <f t="shared" si="19"/>
        <v>333.2</v>
      </c>
      <c r="P96" s="22">
        <f t="shared" si="19"/>
        <v>529.1999999999999</v>
      </c>
      <c r="Q96" s="22">
        <f t="shared" si="19"/>
        <v>766.2</v>
      </c>
      <c r="R96" s="22">
        <f t="shared" si="19"/>
        <v>3240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11958.4</v>
      </c>
      <c r="AG96" s="27">
        <f>B96+C96-AF96</f>
        <v>14788.79214</v>
      </c>
      <c r="AJ96" s="6"/>
    </row>
    <row r="97" spans="1:36" ht="15">
      <c r="A97" s="3" t="s">
        <v>3</v>
      </c>
      <c r="B97" s="22">
        <f aca="true" t="shared" si="20" ref="B97:AA97">B18+B27+B42+B64+B78</f>
        <v>4.27</v>
      </c>
      <c r="C97" s="22">
        <f t="shared" si="20"/>
        <v>32.25</v>
      </c>
      <c r="D97" s="22">
        <f t="shared" si="20"/>
        <v>0</v>
      </c>
      <c r="E97" s="22">
        <f t="shared" si="20"/>
        <v>0</v>
      </c>
      <c r="F97" s="22">
        <f t="shared" si="20"/>
        <v>5</v>
      </c>
      <c r="G97" s="22">
        <f t="shared" si="20"/>
        <v>0</v>
      </c>
      <c r="H97" s="22">
        <f t="shared" si="20"/>
        <v>1.2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0</v>
      </c>
      <c r="N97" s="22">
        <f t="shared" si="20"/>
        <v>2.5</v>
      </c>
      <c r="O97" s="22">
        <f t="shared" si="20"/>
        <v>0</v>
      </c>
      <c r="P97" s="22">
        <f t="shared" si="20"/>
        <v>2.2</v>
      </c>
      <c r="Q97" s="22">
        <f t="shared" si="20"/>
        <v>0</v>
      </c>
      <c r="R97" s="22">
        <f t="shared" si="20"/>
        <v>15.4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26.299999999999997</v>
      </c>
      <c r="AG97" s="27">
        <f>B97+C97-AF97</f>
        <v>10.219999999999999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3589.2480000000032</v>
      </c>
      <c r="C98" s="22">
        <f t="shared" si="21"/>
        <v>2303.7940000000003</v>
      </c>
      <c r="D98" s="22">
        <f t="shared" si="21"/>
        <v>0</v>
      </c>
      <c r="E98" s="22">
        <f t="shared" si="21"/>
        <v>0</v>
      </c>
      <c r="F98" s="22">
        <f t="shared" si="21"/>
        <v>325</v>
      </c>
      <c r="G98" s="22">
        <f t="shared" si="21"/>
        <v>315.4</v>
      </c>
      <c r="H98" s="22">
        <f t="shared" si="21"/>
        <v>681.7</v>
      </c>
      <c r="I98" s="22">
        <f t="shared" si="21"/>
        <v>359.4</v>
      </c>
      <c r="J98" s="22">
        <f t="shared" si="21"/>
        <v>9.6</v>
      </c>
      <c r="K98" s="22">
        <f t="shared" si="21"/>
        <v>196.39999999999998</v>
      </c>
      <c r="L98" s="22">
        <f t="shared" si="21"/>
        <v>111.4</v>
      </c>
      <c r="M98" s="22">
        <f t="shared" si="21"/>
        <v>14.2</v>
      </c>
      <c r="N98" s="22">
        <f t="shared" si="21"/>
        <v>324.6</v>
      </c>
      <c r="O98" s="22">
        <f t="shared" si="21"/>
        <v>109.5</v>
      </c>
      <c r="P98" s="22">
        <f t="shared" si="21"/>
        <v>220.1</v>
      </c>
      <c r="Q98" s="22">
        <f t="shared" si="21"/>
        <v>491.8</v>
      </c>
      <c r="R98" s="22">
        <f t="shared" si="21"/>
        <v>574.1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3733.2000000000003</v>
      </c>
      <c r="AG98" s="27">
        <f>B98+C98-AF98</f>
        <v>2159.842000000003</v>
      </c>
      <c r="AJ98" s="6"/>
    </row>
    <row r="99" spans="1:36" ht="15">
      <c r="A99" s="3" t="s">
        <v>16</v>
      </c>
      <c r="B99" s="22">
        <f aca="true" t="shared" si="22" ref="B99:X99">B21+B30+B49+B37+B58+B13+B75+B67</f>
        <v>2146.3959999999997</v>
      </c>
      <c r="C99" s="22">
        <f t="shared" si="22"/>
        <v>2188.9</v>
      </c>
      <c r="D99" s="22">
        <f t="shared" si="22"/>
        <v>0</v>
      </c>
      <c r="E99" s="22">
        <f t="shared" si="22"/>
        <v>6.4</v>
      </c>
      <c r="F99" s="22">
        <f t="shared" si="22"/>
        <v>40</v>
      </c>
      <c r="G99" s="22">
        <f t="shared" si="22"/>
        <v>1.2</v>
      </c>
      <c r="H99" s="22">
        <f t="shared" si="22"/>
        <v>49.4</v>
      </c>
      <c r="I99" s="22">
        <f t="shared" si="22"/>
        <v>3.9</v>
      </c>
      <c r="J99" s="22">
        <f t="shared" si="22"/>
        <v>0</v>
      </c>
      <c r="K99" s="22">
        <f t="shared" si="22"/>
        <v>207.70000000000002</v>
      </c>
      <c r="L99" s="22">
        <f t="shared" si="22"/>
        <v>8.2</v>
      </c>
      <c r="M99" s="22">
        <f t="shared" si="22"/>
        <v>65</v>
      </c>
      <c r="N99" s="22">
        <f t="shared" si="22"/>
        <v>0</v>
      </c>
      <c r="O99" s="22">
        <f t="shared" si="22"/>
        <v>0</v>
      </c>
      <c r="P99" s="22">
        <f t="shared" si="22"/>
        <v>10.7</v>
      </c>
      <c r="Q99" s="22">
        <f t="shared" si="22"/>
        <v>56.4</v>
      </c>
      <c r="R99" s="22">
        <f t="shared" si="22"/>
        <v>322.29999999999995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771.1999999999999</v>
      </c>
      <c r="AG99" s="27">
        <f>B99+C99-AF99</f>
        <v>3564.0960000000005</v>
      </c>
      <c r="AJ99" s="6"/>
    </row>
    <row r="100" spans="1:36" ht="13.5">
      <c r="A100" s="1" t="s">
        <v>35</v>
      </c>
      <c r="B100" s="2">
        <f aca="true" t="shared" si="24" ref="B100:AD100">B94-B95-B96-B97-B98-B99</f>
        <v>89628.99158</v>
      </c>
      <c r="C100" s="2">
        <f t="shared" si="24"/>
        <v>42861.70009999999</v>
      </c>
      <c r="D100" s="2">
        <f t="shared" si="24"/>
        <v>1086.7</v>
      </c>
      <c r="E100" s="2">
        <f t="shared" si="24"/>
        <v>5583.969999999999</v>
      </c>
      <c r="F100" s="2">
        <f t="shared" si="24"/>
        <v>595.7999999999997</v>
      </c>
      <c r="G100" s="2">
        <f t="shared" si="24"/>
        <v>6267.2</v>
      </c>
      <c r="H100" s="2">
        <f t="shared" si="24"/>
        <v>4850</v>
      </c>
      <c r="I100" s="2">
        <f t="shared" si="24"/>
        <v>8752.1</v>
      </c>
      <c r="J100" s="2">
        <f t="shared" si="24"/>
        <v>11198.2</v>
      </c>
      <c r="K100" s="2">
        <f t="shared" si="24"/>
        <v>11888.500000000002</v>
      </c>
      <c r="L100" s="2">
        <f t="shared" si="24"/>
        <v>2501.800000000003</v>
      </c>
      <c r="M100" s="2">
        <f t="shared" si="24"/>
        <v>2383.6000000000004</v>
      </c>
      <c r="N100" s="2">
        <f t="shared" si="24"/>
        <v>5231.999999999998</v>
      </c>
      <c r="O100" s="2">
        <f t="shared" si="24"/>
        <v>3101.4</v>
      </c>
      <c r="P100" s="2">
        <f t="shared" si="24"/>
        <v>3724.7000000000003</v>
      </c>
      <c r="Q100" s="2">
        <f t="shared" si="24"/>
        <v>4078.0000000000005</v>
      </c>
      <c r="R100" s="2">
        <f t="shared" si="24"/>
        <v>20739.999999999996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91983.97000000004</v>
      </c>
      <c r="AG100" s="2">
        <f>AG94-AG95-AG96-AG97-AG98-AG99</f>
        <v>40506.721679999995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>
        <f>AF92+листопад!AF92+жовт!AF92+вер!AF92+сер!AF92+лип!AF92+черв!AF92+трав!AF92+квіт!AF92+бер!AF92+лют!AF92+січ!AF92</f>
        <v>355892.07</v>
      </c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2017-12-01T10:11:11Z</cp:lastPrinted>
  <dcterms:created xsi:type="dcterms:W3CDTF">2002-11-05T08:53:00Z</dcterms:created>
  <dcterms:modified xsi:type="dcterms:W3CDTF">2017-12-22T11:48:07Z</dcterms:modified>
  <cp:category/>
  <cp:version/>
  <cp:contentType/>
  <cp:contentStatus/>
</cp:coreProperties>
</file>